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omments6.xml" ContentType="application/vnd.openxmlformats-officedocument.spreadsheetml.comments+xml"/>
  <Override PartName="/xl/drawings/drawing8.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7.xml" ContentType="application/vnd.openxmlformats-officedocument.spreadsheetml.comments+xml"/>
  <Override PartName="/xl/drawings/drawing9.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omments8.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Z:\技術部\101【HP関係】■評価協ホームページ掲載資料等■\410【Excel省エネ外皮計算シート】\excel2007\H28仕様\"/>
    </mc:Choice>
  </mc:AlternateContent>
  <bookViews>
    <workbookView xWindow="0" yWindow="0" windowWidth="28800" windowHeight="12450" tabRatio="730"/>
  </bookViews>
  <sheets>
    <sheet name="共通条件・結果" sheetId="97" r:id="rId1"/>
    <sheet name="Ａ（北）" sheetId="92" r:id="rId2"/>
    <sheet name="Ａ（北東）" sheetId="102" r:id="rId3"/>
    <sheet name="Ａ（東）" sheetId="103" r:id="rId4"/>
    <sheet name="Ａ（南東）" sheetId="104" r:id="rId5"/>
    <sheet name="Ａ（南）" sheetId="105" r:id="rId6"/>
    <sheet name="Ａ（南西）" sheetId="106" r:id="rId7"/>
    <sheet name="Ａ（西）" sheetId="107" r:id="rId8"/>
    <sheet name="Ａ（北西）" sheetId="108" r:id="rId9"/>
    <sheet name="Ｂ（屋根・床等）" sheetId="110" r:id="rId10"/>
    <sheet name="Ｃ（基礎）" sheetId="109" r:id="rId11"/>
    <sheet name="参考（部位Ｕ計算）" sheetId="98" r:id="rId12"/>
    <sheet name="更新履歴" sheetId="101" r:id="rId13"/>
  </sheets>
  <definedNames>
    <definedName name="_xlnm.Print_Area" localSheetId="7">'Ａ（西）'!$A$1:$Z$38</definedName>
    <definedName name="_xlnm.Print_Area" localSheetId="3">'Ａ（東）'!$A$1:$Z$38</definedName>
    <definedName name="_xlnm.Print_Area" localSheetId="5">'Ａ（南）'!$A$1:$Z$38</definedName>
    <definedName name="_xlnm.Print_Area" localSheetId="6">'Ａ（南西）'!$A$1:$Z$38</definedName>
    <definedName name="_xlnm.Print_Area" localSheetId="4">'Ａ（南東）'!$A$1:$Z$38</definedName>
    <definedName name="_xlnm.Print_Area" localSheetId="1">'Ａ（北）'!$A$1:$Z$38</definedName>
    <definedName name="_xlnm.Print_Area" localSheetId="8">'Ａ（北西）'!$A$1:$Z$38</definedName>
    <definedName name="_xlnm.Print_Area" localSheetId="2">'Ａ（北東）'!$A$1:$Z$38</definedName>
    <definedName name="_xlnm.Print_Area" localSheetId="10">'Ｃ（基礎）'!$A$1:$AB$43</definedName>
  </definedNames>
  <calcPr calcId="152511"/>
</workbook>
</file>

<file path=xl/calcChain.xml><?xml version="1.0" encoding="utf-8"?>
<calcChain xmlns="http://schemas.openxmlformats.org/spreadsheetml/2006/main">
  <c r="W32" i="104" l="1"/>
  <c r="F30" i="98" l="1"/>
  <c r="F29" i="98"/>
  <c r="F28" i="98"/>
  <c r="F27" i="98"/>
  <c r="F26" i="98"/>
  <c r="F25" i="98"/>
  <c r="F17" i="98"/>
  <c r="G16" i="98"/>
  <c r="F16" i="98"/>
  <c r="G15" i="98"/>
  <c r="F15" i="98"/>
  <c r="G13" i="98"/>
  <c r="F13" i="98"/>
  <c r="G12" i="98"/>
  <c r="F12" i="98"/>
  <c r="G11" i="98"/>
  <c r="F11" i="98"/>
  <c r="G10" i="98"/>
  <c r="F10" i="98"/>
  <c r="G9" i="98"/>
  <c r="F9" i="98"/>
  <c r="K34" i="109"/>
  <c r="K33" i="109"/>
  <c r="C33" i="109"/>
  <c r="A33" i="109"/>
  <c r="K32" i="109"/>
  <c r="C32" i="109"/>
  <c r="A32" i="109"/>
  <c r="K31" i="109"/>
  <c r="C31" i="109"/>
  <c r="A31" i="109"/>
  <c r="K30" i="109"/>
  <c r="C30" i="109"/>
  <c r="A30" i="109"/>
  <c r="K29" i="109"/>
  <c r="C29" i="109"/>
  <c r="A29" i="109"/>
  <c r="AJ22" i="109"/>
  <c r="AI22" i="109"/>
  <c r="AH22" i="109"/>
  <c r="AG22" i="109"/>
  <c r="AF22" i="109"/>
  <c r="AD22" i="109"/>
  <c r="AA22" i="109"/>
  <c r="Y22" i="109"/>
  <c r="C22" i="109"/>
  <c r="A22" i="109"/>
  <c r="AJ21" i="109"/>
  <c r="AI21" i="109"/>
  <c r="AH21" i="109"/>
  <c r="AG21" i="109"/>
  <c r="AF21" i="109"/>
  <c r="AD21" i="109"/>
  <c r="AA21" i="109"/>
  <c r="Y21" i="109"/>
  <c r="C21" i="109"/>
  <c r="A21" i="109"/>
  <c r="AJ20" i="109"/>
  <c r="AI20" i="109"/>
  <c r="AH20" i="109"/>
  <c r="AG20" i="109"/>
  <c r="AF20" i="109"/>
  <c r="AD20" i="109"/>
  <c r="AA20" i="109"/>
  <c r="Y20" i="109"/>
  <c r="C20" i="109"/>
  <c r="A20" i="109"/>
  <c r="AJ19" i="109"/>
  <c r="AI19" i="109"/>
  <c r="AH19" i="109"/>
  <c r="AG19" i="109"/>
  <c r="AF19" i="109"/>
  <c r="AD19" i="109"/>
  <c r="AA19" i="109"/>
  <c r="Y19" i="109"/>
  <c r="C19" i="109"/>
  <c r="A19" i="109"/>
  <c r="AJ18" i="109"/>
  <c r="AI18" i="109"/>
  <c r="AH18" i="109"/>
  <c r="AG18" i="109"/>
  <c r="AF18" i="109"/>
  <c r="AD18" i="109"/>
  <c r="AA18" i="109"/>
  <c r="Y18" i="109"/>
  <c r="C18" i="109"/>
  <c r="A18" i="109"/>
  <c r="G11" i="109"/>
  <c r="X29" i="110"/>
  <c r="S29" i="110"/>
  <c r="O29" i="110"/>
  <c r="Q24" i="110"/>
  <c r="M24" i="110"/>
  <c r="AC23" i="110"/>
  <c r="Q23" i="110"/>
  <c r="O23" i="110"/>
  <c r="M23" i="110"/>
  <c r="I23" i="110"/>
  <c r="AC22" i="110"/>
  <c r="Q22" i="110"/>
  <c r="O22" i="110"/>
  <c r="M22" i="110"/>
  <c r="I22" i="110"/>
  <c r="AC21" i="110"/>
  <c r="Q21" i="110"/>
  <c r="O21" i="110"/>
  <c r="M21" i="110"/>
  <c r="I21" i="110"/>
  <c r="AC20" i="110"/>
  <c r="Q20" i="110"/>
  <c r="O20" i="110"/>
  <c r="M20" i="110"/>
  <c r="I20" i="110"/>
  <c r="AC19" i="110"/>
  <c r="Q19" i="110"/>
  <c r="O19" i="110"/>
  <c r="M19" i="110"/>
  <c r="I19" i="110"/>
  <c r="AC18" i="110"/>
  <c r="Q18" i="110"/>
  <c r="O18" i="110"/>
  <c r="M18" i="110"/>
  <c r="I18" i="110"/>
  <c r="AC17" i="110"/>
  <c r="Q17" i="110"/>
  <c r="O17" i="110"/>
  <c r="M17" i="110"/>
  <c r="I17" i="110"/>
  <c r="AC16" i="110"/>
  <c r="Q16" i="110"/>
  <c r="O16" i="110"/>
  <c r="O24" i="110" s="1"/>
  <c r="M16" i="110"/>
  <c r="I16" i="110"/>
  <c r="AG10" i="110"/>
  <c r="AF10" i="110"/>
  <c r="AD10" i="110"/>
  <c r="AC10" i="110"/>
  <c r="Q10" i="110"/>
  <c r="O10" i="110"/>
  <c r="M10" i="110"/>
  <c r="AG9" i="110"/>
  <c r="AF9" i="110"/>
  <c r="AD9" i="110"/>
  <c r="AC9" i="110"/>
  <c r="Q9" i="110"/>
  <c r="O9" i="110"/>
  <c r="M9" i="110"/>
  <c r="AG8" i="110"/>
  <c r="AF8" i="110"/>
  <c r="AD8" i="110"/>
  <c r="AC8" i="110"/>
  <c r="Q8" i="110"/>
  <c r="O8" i="110"/>
  <c r="M8" i="110"/>
  <c r="AG7" i="110"/>
  <c r="AF7" i="110"/>
  <c r="AD7" i="110"/>
  <c r="AC7" i="110"/>
  <c r="Q7" i="110"/>
  <c r="O7" i="110"/>
  <c r="M7" i="110"/>
  <c r="AG6" i="110"/>
  <c r="AF6" i="110"/>
  <c r="AD6" i="110"/>
  <c r="AC6" i="110"/>
  <c r="Q6" i="110"/>
  <c r="O6" i="110"/>
  <c r="M6" i="110"/>
  <c r="X35" i="108"/>
  <c r="T35" i="108"/>
  <c r="P35" i="108"/>
  <c r="K35" i="108"/>
  <c r="Y32" i="108"/>
  <c r="AE31" i="108"/>
  <c r="AD31" i="108"/>
  <c r="Y31" i="108"/>
  <c r="W31" i="108"/>
  <c r="U31" i="108"/>
  <c r="O31" i="108"/>
  <c r="AE30" i="108"/>
  <c r="AD30" i="108"/>
  <c r="Y30" i="108"/>
  <c r="W30" i="108"/>
  <c r="U30" i="108"/>
  <c r="O30" i="108"/>
  <c r="AE29" i="108"/>
  <c r="AD29" i="108"/>
  <c r="Y29" i="108"/>
  <c r="W29" i="108"/>
  <c r="U29" i="108"/>
  <c r="U32" i="108" s="1"/>
  <c r="O29" i="108"/>
  <c r="AN23" i="108"/>
  <c r="AM23" i="108"/>
  <c r="Y23" i="108"/>
  <c r="W23" i="108"/>
  <c r="U23" i="108"/>
  <c r="AN22" i="108"/>
  <c r="AM22" i="108"/>
  <c r="Y22" i="108"/>
  <c r="Y24" i="108" s="1"/>
  <c r="W22" i="108"/>
  <c r="U22" i="108"/>
  <c r="U24" i="108" s="1"/>
  <c r="AN16" i="108"/>
  <c r="AM16" i="108"/>
  <c r="AK16" i="108"/>
  <c r="AJ16" i="108"/>
  <c r="AH16" i="108"/>
  <c r="AG16" i="108"/>
  <c r="Y16" i="108"/>
  <c r="W16" i="108"/>
  <c r="U16" i="108"/>
  <c r="AN15" i="108"/>
  <c r="AM15" i="108"/>
  <c r="AK15" i="108"/>
  <c r="AJ15" i="108"/>
  <c r="AG15" i="108" s="1"/>
  <c r="AH15" i="108"/>
  <c r="Y15" i="108"/>
  <c r="W15" i="108"/>
  <c r="U15" i="108"/>
  <c r="AN14" i="108"/>
  <c r="AM14" i="108"/>
  <c r="AK14" i="108"/>
  <c r="AH14" i="108" s="1"/>
  <c r="AJ14" i="108"/>
  <c r="AG14" i="108" s="1"/>
  <c r="Y14" i="108"/>
  <c r="W14" i="108"/>
  <c r="U14" i="108"/>
  <c r="AN13" i="108"/>
  <c r="AM13" i="108"/>
  <c r="AK13" i="108"/>
  <c r="AH13" i="108" s="1"/>
  <c r="AJ13" i="108"/>
  <c r="AG13" i="108"/>
  <c r="Y13" i="108"/>
  <c r="W13" i="108"/>
  <c r="U13" i="108"/>
  <c r="AN12" i="108"/>
  <c r="AM12" i="108"/>
  <c r="AK12" i="108"/>
  <c r="AJ12" i="108"/>
  <c r="AH12" i="108"/>
  <c r="AG12" i="108"/>
  <c r="Y12" i="108"/>
  <c r="W12" i="108"/>
  <c r="U12" i="108"/>
  <c r="AN11" i="108"/>
  <c r="AM11" i="108"/>
  <c r="AK11" i="108"/>
  <c r="AJ11" i="108"/>
  <c r="AG11" i="108" s="1"/>
  <c r="AH11" i="108"/>
  <c r="Y11" i="108"/>
  <c r="W11" i="108"/>
  <c r="U11" i="108"/>
  <c r="AN10" i="108"/>
  <c r="AM10" i="108"/>
  <c r="AK10" i="108"/>
  <c r="AH10" i="108" s="1"/>
  <c r="AJ10" i="108"/>
  <c r="AG10" i="108" s="1"/>
  <c r="Y10" i="108"/>
  <c r="W10" i="108"/>
  <c r="U10" i="108"/>
  <c r="AN9" i="108"/>
  <c r="AM9" i="108"/>
  <c r="AK9" i="108"/>
  <c r="AH9" i="108" s="1"/>
  <c r="AJ9" i="108"/>
  <c r="AG9" i="108"/>
  <c r="Y9" i="108"/>
  <c r="W9" i="108"/>
  <c r="U9" i="108"/>
  <c r="AN8" i="108"/>
  <c r="AM8" i="108"/>
  <c r="AK8" i="108"/>
  <c r="AJ8" i="108"/>
  <c r="AH8" i="108"/>
  <c r="AG8" i="108"/>
  <c r="Y8" i="108"/>
  <c r="W8" i="108"/>
  <c r="U8" i="108"/>
  <c r="AN7" i="108"/>
  <c r="AM7" i="108"/>
  <c r="AK7" i="108"/>
  <c r="AJ7" i="108"/>
  <c r="AG7" i="108" s="1"/>
  <c r="AH7" i="108"/>
  <c r="Y7" i="108"/>
  <c r="W7" i="108"/>
  <c r="U7" i="108"/>
  <c r="W3" i="108"/>
  <c r="U3" i="108"/>
  <c r="X35" i="107"/>
  <c r="T35" i="107"/>
  <c r="P35" i="107"/>
  <c r="K35" i="107"/>
  <c r="Y32" i="107"/>
  <c r="AE31" i="107"/>
  <c r="AD31" i="107"/>
  <c r="Y31" i="107"/>
  <c r="W31" i="107"/>
  <c r="U31" i="107"/>
  <c r="O31" i="107"/>
  <c r="AE30" i="107"/>
  <c r="AD30" i="107"/>
  <c r="Y30" i="107"/>
  <c r="W30" i="107"/>
  <c r="U30" i="107"/>
  <c r="O30" i="107"/>
  <c r="AE29" i="107"/>
  <c r="AD29" i="107"/>
  <c r="Y29" i="107"/>
  <c r="W29" i="107"/>
  <c r="U29" i="107"/>
  <c r="O29" i="107"/>
  <c r="AN23" i="107"/>
  <c r="AM23" i="107"/>
  <c r="Y23" i="107"/>
  <c r="W23" i="107"/>
  <c r="U23" i="107"/>
  <c r="AN22" i="107"/>
  <c r="AM22" i="107"/>
  <c r="Y22" i="107"/>
  <c r="W22" i="107"/>
  <c r="U22" i="107"/>
  <c r="AN16" i="107"/>
  <c r="AM16" i="107"/>
  <c r="AK16" i="107"/>
  <c r="AJ16" i="107"/>
  <c r="AG16" i="107" s="1"/>
  <c r="AH16" i="107"/>
  <c r="Y16" i="107"/>
  <c r="W16" i="107"/>
  <c r="U16" i="107"/>
  <c r="AN15" i="107"/>
  <c r="AM15" i="107"/>
  <c r="AK15" i="107"/>
  <c r="AH15" i="107" s="1"/>
  <c r="AJ15" i="107"/>
  <c r="AG15" i="107" s="1"/>
  <c r="Y15" i="107"/>
  <c r="W15" i="107"/>
  <c r="U15" i="107"/>
  <c r="AN14" i="107"/>
  <c r="AM14" i="107"/>
  <c r="AK14" i="107"/>
  <c r="AH14" i="107" s="1"/>
  <c r="AJ14" i="107"/>
  <c r="AG14" i="107"/>
  <c r="Y14" i="107"/>
  <c r="W14" i="107"/>
  <c r="U14" i="107"/>
  <c r="AN13" i="107"/>
  <c r="AM13" i="107"/>
  <c r="AK13" i="107"/>
  <c r="AJ13" i="107"/>
  <c r="AH13" i="107"/>
  <c r="AG13" i="107"/>
  <c r="Y13" i="107"/>
  <c r="W13" i="107"/>
  <c r="U13" i="107"/>
  <c r="AN12" i="107"/>
  <c r="AM12" i="107"/>
  <c r="AK12" i="107"/>
  <c r="AJ12" i="107"/>
  <c r="AG12" i="107" s="1"/>
  <c r="AH12" i="107"/>
  <c r="Y12" i="107"/>
  <c r="W12" i="107"/>
  <c r="U12" i="107"/>
  <c r="AN11" i="107"/>
  <c r="AM11" i="107"/>
  <c r="AK11" i="107"/>
  <c r="AH11" i="107" s="1"/>
  <c r="AJ11" i="107"/>
  <c r="AG11" i="107" s="1"/>
  <c r="Y11" i="107"/>
  <c r="W11" i="107"/>
  <c r="U11" i="107"/>
  <c r="AN10" i="107"/>
  <c r="AM10" i="107"/>
  <c r="AK10" i="107"/>
  <c r="AH10" i="107" s="1"/>
  <c r="AJ10" i="107"/>
  <c r="AG10" i="107"/>
  <c r="Y10" i="107"/>
  <c r="W10" i="107"/>
  <c r="U10" i="107"/>
  <c r="AN9" i="107"/>
  <c r="AM9" i="107"/>
  <c r="AK9" i="107"/>
  <c r="AJ9" i="107"/>
  <c r="AH9" i="107"/>
  <c r="AG9" i="107"/>
  <c r="Y9" i="107"/>
  <c r="W9" i="107"/>
  <c r="U9" i="107"/>
  <c r="AN8" i="107"/>
  <c r="AM8" i="107"/>
  <c r="AK8" i="107"/>
  <c r="AJ8" i="107"/>
  <c r="AG8" i="107" s="1"/>
  <c r="AH8" i="107"/>
  <c r="Y8" i="107"/>
  <c r="W8" i="107"/>
  <c r="U8" i="107"/>
  <c r="AN7" i="107"/>
  <c r="AM7" i="107"/>
  <c r="AK7" i="107"/>
  <c r="AH7" i="107" s="1"/>
  <c r="AJ7" i="107"/>
  <c r="AG7" i="107" s="1"/>
  <c r="Y7" i="107"/>
  <c r="W7" i="107"/>
  <c r="U7" i="107"/>
  <c r="W3" i="107"/>
  <c r="U3" i="107"/>
  <c r="X35" i="106"/>
  <c r="T35" i="106"/>
  <c r="P35" i="106"/>
  <c r="K35" i="106"/>
  <c r="Y32" i="106"/>
  <c r="AE31" i="106"/>
  <c r="AD31" i="106"/>
  <c r="Y31" i="106"/>
  <c r="W31" i="106"/>
  <c r="U31" i="106"/>
  <c r="O31" i="106"/>
  <c r="AE30" i="106"/>
  <c r="AD30" i="106"/>
  <c r="Y30" i="106"/>
  <c r="W30" i="106"/>
  <c r="U30" i="106"/>
  <c r="O30" i="106"/>
  <c r="AE29" i="106"/>
  <c r="AD29" i="106"/>
  <c r="Y29" i="106"/>
  <c r="W29" i="106"/>
  <c r="U29" i="106"/>
  <c r="O29" i="106"/>
  <c r="AN23" i="106"/>
  <c r="AM23" i="106"/>
  <c r="Y23" i="106"/>
  <c r="W23" i="106"/>
  <c r="U23" i="106"/>
  <c r="AN22" i="106"/>
  <c r="AM22" i="106"/>
  <c r="Y22" i="106"/>
  <c r="Y24" i="106" s="1"/>
  <c r="W22" i="106"/>
  <c r="U22" i="106"/>
  <c r="AN16" i="106"/>
  <c r="AM16" i="106"/>
  <c r="AK16" i="106"/>
  <c r="AH16" i="106" s="1"/>
  <c r="AJ16" i="106"/>
  <c r="AG16" i="106" s="1"/>
  <c r="Y16" i="106"/>
  <c r="W16" i="106"/>
  <c r="U16" i="106"/>
  <c r="AN15" i="106"/>
  <c r="AM15" i="106"/>
  <c r="AK15" i="106"/>
  <c r="AH15" i="106" s="1"/>
  <c r="AJ15" i="106"/>
  <c r="AG15" i="106" s="1"/>
  <c r="Y15" i="106"/>
  <c r="W15" i="106"/>
  <c r="U15" i="106"/>
  <c r="AN14" i="106"/>
  <c r="AM14" i="106"/>
  <c r="AK14" i="106"/>
  <c r="AH14" i="106" s="1"/>
  <c r="AJ14" i="106"/>
  <c r="AG14" i="106" s="1"/>
  <c r="Y14" i="106"/>
  <c r="W14" i="106"/>
  <c r="U14" i="106"/>
  <c r="AN13" i="106"/>
  <c r="AM13" i="106"/>
  <c r="AK13" i="106"/>
  <c r="AH13" i="106" s="1"/>
  <c r="AJ13" i="106"/>
  <c r="AG13" i="106" s="1"/>
  <c r="Y13" i="106"/>
  <c r="W13" i="106"/>
  <c r="U13" i="106"/>
  <c r="AN12" i="106"/>
  <c r="AM12" i="106"/>
  <c r="AK12" i="106"/>
  <c r="AH12" i="106" s="1"/>
  <c r="AJ12" i="106"/>
  <c r="AG12" i="106" s="1"/>
  <c r="Y12" i="106"/>
  <c r="W12" i="106"/>
  <c r="U12" i="106"/>
  <c r="AN11" i="106"/>
  <c r="AM11" i="106"/>
  <c r="AK11" i="106"/>
  <c r="AH11" i="106" s="1"/>
  <c r="AJ11" i="106"/>
  <c r="AG11" i="106" s="1"/>
  <c r="Y11" i="106"/>
  <c r="W11" i="106"/>
  <c r="U11" i="106"/>
  <c r="AN10" i="106"/>
  <c r="AM10" i="106"/>
  <c r="AK10" i="106"/>
  <c r="AH10" i="106" s="1"/>
  <c r="AJ10" i="106"/>
  <c r="AG10" i="106" s="1"/>
  <c r="Y10" i="106"/>
  <c r="W10" i="106"/>
  <c r="U10" i="106"/>
  <c r="AN9" i="106"/>
  <c r="AM9" i="106"/>
  <c r="AK9" i="106"/>
  <c r="AH9" i="106" s="1"/>
  <c r="AJ9" i="106"/>
  <c r="AG9" i="106" s="1"/>
  <c r="Y9" i="106"/>
  <c r="W9" i="106"/>
  <c r="U9" i="106"/>
  <c r="AN8" i="106"/>
  <c r="AM8" i="106"/>
  <c r="AK8" i="106"/>
  <c r="AH8" i="106" s="1"/>
  <c r="AJ8" i="106"/>
  <c r="AG8" i="106" s="1"/>
  <c r="Y8" i="106"/>
  <c r="W8" i="106"/>
  <c r="U8" i="106"/>
  <c r="AN7" i="106"/>
  <c r="AM7" i="106"/>
  <c r="AK7" i="106"/>
  <c r="AH7" i="106" s="1"/>
  <c r="AJ7" i="106"/>
  <c r="AG7" i="106" s="1"/>
  <c r="Y7" i="106"/>
  <c r="W7" i="106"/>
  <c r="U7" i="106"/>
  <c r="W3" i="106"/>
  <c r="U3" i="106"/>
  <c r="X35" i="105"/>
  <c r="T35" i="105"/>
  <c r="P35" i="105"/>
  <c r="K35" i="105"/>
  <c r="Y32" i="105"/>
  <c r="AE31" i="105"/>
  <c r="AD31" i="105"/>
  <c r="Y31" i="105"/>
  <c r="W31" i="105"/>
  <c r="U31" i="105"/>
  <c r="O31" i="105"/>
  <c r="AE30" i="105"/>
  <c r="AD30" i="105"/>
  <c r="Y30" i="105"/>
  <c r="W30" i="105"/>
  <c r="U30" i="105"/>
  <c r="O30" i="105"/>
  <c r="AE29" i="105"/>
  <c r="AD29" i="105"/>
  <c r="Y29" i="105"/>
  <c r="W29" i="105"/>
  <c r="U29" i="105"/>
  <c r="O29" i="105"/>
  <c r="AN23" i="105"/>
  <c r="AM23" i="105"/>
  <c r="Y23" i="105"/>
  <c r="W23" i="105"/>
  <c r="U23" i="105"/>
  <c r="AN22" i="105"/>
  <c r="AM22" i="105"/>
  <c r="Y22" i="105"/>
  <c r="W22" i="105"/>
  <c r="U22" i="105"/>
  <c r="AN16" i="105"/>
  <c r="AM16" i="105"/>
  <c r="AK16" i="105"/>
  <c r="AJ16" i="105"/>
  <c r="AG16" i="105" s="1"/>
  <c r="AH16" i="105"/>
  <c r="Y16" i="105"/>
  <c r="W16" i="105"/>
  <c r="U16" i="105"/>
  <c r="AN15" i="105"/>
  <c r="AM15" i="105"/>
  <c r="AK15" i="105"/>
  <c r="AJ15" i="105"/>
  <c r="AG15" i="105" s="1"/>
  <c r="AH15" i="105"/>
  <c r="Y15" i="105"/>
  <c r="W15" i="105"/>
  <c r="U15" i="105"/>
  <c r="AN14" i="105"/>
  <c r="AM14" i="105"/>
  <c r="AK14" i="105"/>
  <c r="AJ14" i="105"/>
  <c r="AG14" i="105" s="1"/>
  <c r="AH14" i="105"/>
  <c r="Y14" i="105"/>
  <c r="W14" i="105"/>
  <c r="U14" i="105"/>
  <c r="AN13" i="105"/>
  <c r="AM13" i="105"/>
  <c r="AK13" i="105"/>
  <c r="AJ13" i="105"/>
  <c r="AG13" i="105" s="1"/>
  <c r="AH13" i="105"/>
  <c r="Y13" i="105"/>
  <c r="W13" i="105"/>
  <c r="U13" i="105"/>
  <c r="AN12" i="105"/>
  <c r="AM12" i="105"/>
  <c r="AK12" i="105"/>
  <c r="AJ12" i="105"/>
  <c r="AG12" i="105" s="1"/>
  <c r="AH12" i="105"/>
  <c r="Y12" i="105"/>
  <c r="W12" i="105"/>
  <c r="U12" i="105"/>
  <c r="AN11" i="105"/>
  <c r="AM11" i="105"/>
  <c r="AK11" i="105"/>
  <c r="AJ11" i="105"/>
  <c r="AG11" i="105" s="1"/>
  <c r="AH11" i="105"/>
  <c r="Y11" i="105"/>
  <c r="W11" i="105"/>
  <c r="U11" i="105"/>
  <c r="AN10" i="105"/>
  <c r="AM10" i="105"/>
  <c r="AK10" i="105"/>
  <c r="AJ10" i="105"/>
  <c r="AG10" i="105" s="1"/>
  <c r="AH10" i="105"/>
  <c r="Y10" i="105"/>
  <c r="W10" i="105"/>
  <c r="U10" i="105"/>
  <c r="AN9" i="105"/>
  <c r="AM9" i="105"/>
  <c r="AK9" i="105"/>
  <c r="AJ9" i="105"/>
  <c r="AG9" i="105" s="1"/>
  <c r="AH9" i="105"/>
  <c r="Y9" i="105"/>
  <c r="W9" i="105"/>
  <c r="U9" i="105"/>
  <c r="AN8" i="105"/>
  <c r="AM8" i="105"/>
  <c r="AK8" i="105"/>
  <c r="AJ8" i="105"/>
  <c r="AG8" i="105" s="1"/>
  <c r="AH8" i="105"/>
  <c r="Y8" i="105"/>
  <c r="W8" i="105"/>
  <c r="U8" i="105"/>
  <c r="AN7" i="105"/>
  <c r="AM7" i="105"/>
  <c r="AK7" i="105"/>
  <c r="AJ7" i="105"/>
  <c r="AG7" i="105" s="1"/>
  <c r="AH7" i="105"/>
  <c r="Y7" i="105"/>
  <c r="W7" i="105"/>
  <c r="U7" i="105"/>
  <c r="W3" i="105"/>
  <c r="AD15" i="105" s="1"/>
  <c r="U3" i="105"/>
  <c r="X35" i="104"/>
  <c r="T35" i="104"/>
  <c r="P35" i="104"/>
  <c r="K35" i="104"/>
  <c r="Y32" i="104"/>
  <c r="AE31" i="104"/>
  <c r="AD31" i="104"/>
  <c r="Y31" i="104"/>
  <c r="W31" i="104"/>
  <c r="U31" i="104"/>
  <c r="O31" i="104"/>
  <c r="AE30" i="104"/>
  <c r="AD30" i="104"/>
  <c r="Y30" i="104"/>
  <c r="W30" i="104"/>
  <c r="U30" i="104"/>
  <c r="O30" i="104"/>
  <c r="AE29" i="104"/>
  <c r="AD29" i="104"/>
  <c r="Y29" i="104"/>
  <c r="W29" i="104"/>
  <c r="U29" i="104"/>
  <c r="O29" i="104"/>
  <c r="AN23" i="104"/>
  <c r="AM23" i="104"/>
  <c r="Y23" i="104"/>
  <c r="W23" i="104"/>
  <c r="U23" i="104"/>
  <c r="AN22" i="104"/>
  <c r="AM22" i="104"/>
  <c r="Y22" i="104"/>
  <c r="Y24" i="104" s="1"/>
  <c r="W22" i="104"/>
  <c r="U22" i="104"/>
  <c r="AN16" i="104"/>
  <c r="AM16" i="104"/>
  <c r="AK16" i="104"/>
  <c r="AJ16" i="104"/>
  <c r="AG16" i="104" s="1"/>
  <c r="AH16" i="104"/>
  <c r="Y16" i="104"/>
  <c r="W16" i="104"/>
  <c r="U16" i="104"/>
  <c r="AN15" i="104"/>
  <c r="AM15" i="104"/>
  <c r="AK15" i="104"/>
  <c r="AJ15" i="104"/>
  <c r="AG15" i="104" s="1"/>
  <c r="AH15" i="104"/>
  <c r="Y15" i="104"/>
  <c r="W15" i="104"/>
  <c r="U15" i="104"/>
  <c r="AN14" i="104"/>
  <c r="AM14" i="104"/>
  <c r="AK14" i="104"/>
  <c r="AJ14" i="104"/>
  <c r="AG14" i="104" s="1"/>
  <c r="AH14" i="104"/>
  <c r="Y14" i="104"/>
  <c r="W14" i="104"/>
  <c r="U14" i="104"/>
  <c r="AN13" i="104"/>
  <c r="AM13" i="104"/>
  <c r="AK13" i="104"/>
  <c r="AJ13" i="104"/>
  <c r="AG13" i="104" s="1"/>
  <c r="AH13" i="104"/>
  <c r="Y13" i="104"/>
  <c r="W13" i="104"/>
  <c r="U13" i="104"/>
  <c r="AN12" i="104"/>
  <c r="AM12" i="104"/>
  <c r="AK12" i="104"/>
  <c r="AJ12" i="104"/>
  <c r="AG12" i="104" s="1"/>
  <c r="AH12" i="104"/>
  <c r="Y12" i="104"/>
  <c r="W12" i="104"/>
  <c r="U12" i="104"/>
  <c r="AN11" i="104"/>
  <c r="AM11" i="104"/>
  <c r="AK11" i="104"/>
  <c r="AJ11" i="104"/>
  <c r="AG11" i="104" s="1"/>
  <c r="AH11" i="104"/>
  <c r="Y11" i="104"/>
  <c r="W11" i="104"/>
  <c r="U11" i="104"/>
  <c r="AN10" i="104"/>
  <c r="AM10" i="104"/>
  <c r="AK10" i="104"/>
  <c r="AJ10" i="104"/>
  <c r="AG10" i="104" s="1"/>
  <c r="AH10" i="104"/>
  <c r="Y10" i="104"/>
  <c r="W10" i="104"/>
  <c r="U10" i="104"/>
  <c r="AN9" i="104"/>
  <c r="AM9" i="104"/>
  <c r="AK9" i="104"/>
  <c r="AJ9" i="104"/>
  <c r="AG9" i="104" s="1"/>
  <c r="AH9" i="104"/>
  <c r="Y9" i="104"/>
  <c r="W9" i="104"/>
  <c r="U9" i="104"/>
  <c r="AN8" i="104"/>
  <c r="AM8" i="104"/>
  <c r="AK8" i="104"/>
  <c r="AJ8" i="104"/>
  <c r="AG8" i="104" s="1"/>
  <c r="AH8" i="104"/>
  <c r="Y8" i="104"/>
  <c r="W8" i="104"/>
  <c r="U8" i="104"/>
  <c r="AN7" i="104"/>
  <c r="AM7" i="104"/>
  <c r="AK7" i="104"/>
  <c r="AJ7" i="104"/>
  <c r="AG7" i="104" s="1"/>
  <c r="AH7" i="104"/>
  <c r="Y7" i="104"/>
  <c r="W7" i="104"/>
  <c r="U7" i="104"/>
  <c r="W3" i="104"/>
  <c r="AD16" i="104" s="1"/>
  <c r="U3" i="104"/>
  <c r="X35" i="103"/>
  <c r="T35" i="103"/>
  <c r="P35" i="103"/>
  <c r="K35" i="103"/>
  <c r="Y32" i="103"/>
  <c r="AE31" i="103"/>
  <c r="AD31" i="103"/>
  <c r="Y31" i="103"/>
  <c r="W31" i="103"/>
  <c r="U31" i="103"/>
  <c r="O31" i="103"/>
  <c r="AE30" i="103"/>
  <c r="AD30" i="103"/>
  <c r="Y30" i="103"/>
  <c r="W30" i="103"/>
  <c r="U30" i="103"/>
  <c r="O30" i="103"/>
  <c r="AE29" i="103"/>
  <c r="AD29" i="103"/>
  <c r="Y29" i="103"/>
  <c r="W29" i="103"/>
  <c r="U29" i="103"/>
  <c r="O29" i="103"/>
  <c r="AN23" i="103"/>
  <c r="AM23" i="103"/>
  <c r="Y23" i="103"/>
  <c r="W23" i="103"/>
  <c r="U23" i="103"/>
  <c r="AN22" i="103"/>
  <c r="AM22" i="103"/>
  <c r="Y22" i="103"/>
  <c r="W22" i="103"/>
  <c r="U22" i="103"/>
  <c r="AN16" i="103"/>
  <c r="AM16" i="103"/>
  <c r="AK16" i="103"/>
  <c r="AH16" i="103" s="1"/>
  <c r="AJ16" i="103"/>
  <c r="AG16" i="103" s="1"/>
  <c r="Y16" i="103"/>
  <c r="W16" i="103"/>
  <c r="U16" i="103"/>
  <c r="AN15" i="103"/>
  <c r="AM15" i="103"/>
  <c r="AK15" i="103"/>
  <c r="AH15" i="103" s="1"/>
  <c r="AJ15" i="103"/>
  <c r="AG15" i="103"/>
  <c r="Y15" i="103"/>
  <c r="W15" i="103"/>
  <c r="U15" i="103"/>
  <c r="AN14" i="103"/>
  <c r="AM14" i="103"/>
  <c r="AK14" i="103"/>
  <c r="AJ14" i="103"/>
  <c r="AH14" i="103"/>
  <c r="AG14" i="103"/>
  <c r="Y14" i="103"/>
  <c r="W14" i="103"/>
  <c r="U14" i="103"/>
  <c r="AN13" i="103"/>
  <c r="AM13" i="103"/>
  <c r="AK13" i="103"/>
  <c r="AJ13" i="103"/>
  <c r="AG13" i="103" s="1"/>
  <c r="AH13" i="103"/>
  <c r="Y13" i="103"/>
  <c r="W13" i="103"/>
  <c r="U13" i="103"/>
  <c r="AN12" i="103"/>
  <c r="AM12" i="103"/>
  <c r="AK12" i="103"/>
  <c r="AH12" i="103" s="1"/>
  <c r="AJ12" i="103"/>
  <c r="AG12" i="103" s="1"/>
  <c r="Y12" i="103"/>
  <c r="W12" i="103"/>
  <c r="U12" i="103"/>
  <c r="AN11" i="103"/>
  <c r="AM11" i="103"/>
  <c r="AK11" i="103"/>
  <c r="AH11" i="103" s="1"/>
  <c r="AJ11" i="103"/>
  <c r="AG11" i="103"/>
  <c r="Y11" i="103"/>
  <c r="W11" i="103"/>
  <c r="U11" i="103"/>
  <c r="AN10" i="103"/>
  <c r="AM10" i="103"/>
  <c r="AK10" i="103"/>
  <c r="AJ10" i="103"/>
  <c r="AH10" i="103"/>
  <c r="AG10" i="103"/>
  <c r="Y10" i="103"/>
  <c r="W10" i="103"/>
  <c r="U10" i="103"/>
  <c r="AN9" i="103"/>
  <c r="AM9" i="103"/>
  <c r="AK9" i="103"/>
  <c r="AJ9" i="103"/>
  <c r="AG9" i="103" s="1"/>
  <c r="AH9" i="103"/>
  <c r="Y9" i="103"/>
  <c r="W9" i="103"/>
  <c r="U9" i="103"/>
  <c r="AN8" i="103"/>
  <c r="AM8" i="103"/>
  <c r="AK8" i="103"/>
  <c r="AH8" i="103" s="1"/>
  <c r="AJ8" i="103"/>
  <c r="AG8" i="103" s="1"/>
  <c r="Y8" i="103"/>
  <c r="W8" i="103"/>
  <c r="U8" i="103"/>
  <c r="AN7" i="103"/>
  <c r="AM7" i="103"/>
  <c r="AK7" i="103"/>
  <c r="AH7" i="103" s="1"/>
  <c r="AJ7" i="103"/>
  <c r="AG7" i="103"/>
  <c r="Y7" i="103"/>
  <c r="W7" i="103"/>
  <c r="U7" i="103"/>
  <c r="W3" i="103"/>
  <c r="U3" i="103"/>
  <c r="AC15" i="103" s="1"/>
  <c r="X35" i="102"/>
  <c r="T35" i="102"/>
  <c r="P35" i="102"/>
  <c r="K35" i="102"/>
  <c r="Y32" i="102"/>
  <c r="AE31" i="102"/>
  <c r="AD31" i="102"/>
  <c r="Y31" i="102"/>
  <c r="W31" i="102"/>
  <c r="U31" i="102"/>
  <c r="O31" i="102"/>
  <c r="AE30" i="102"/>
  <c r="AD30" i="102"/>
  <c r="Y30" i="102"/>
  <c r="W30" i="102"/>
  <c r="U30" i="102"/>
  <c r="O30" i="102"/>
  <c r="AE29" i="102"/>
  <c r="AD29" i="102"/>
  <c r="Y29" i="102"/>
  <c r="W29" i="102"/>
  <c r="U29" i="102"/>
  <c r="O29" i="102"/>
  <c r="AN23" i="102"/>
  <c r="AM23" i="102"/>
  <c r="Y23" i="102"/>
  <c r="W23" i="102"/>
  <c r="W24" i="102" s="1"/>
  <c r="U23" i="102"/>
  <c r="AN22" i="102"/>
  <c r="AM22" i="102"/>
  <c r="Y22" i="102"/>
  <c r="W22" i="102"/>
  <c r="U22" i="102"/>
  <c r="AN16" i="102"/>
  <c r="AM16" i="102"/>
  <c r="AK16" i="102"/>
  <c r="AJ16" i="102"/>
  <c r="AH16" i="102"/>
  <c r="AG16" i="102"/>
  <c r="Y16" i="102"/>
  <c r="W16" i="102"/>
  <c r="U16" i="102"/>
  <c r="AN15" i="102"/>
  <c r="AM15" i="102"/>
  <c r="AK15" i="102"/>
  <c r="AJ15" i="102"/>
  <c r="AG15" i="102" s="1"/>
  <c r="AH15" i="102"/>
  <c r="Y15" i="102"/>
  <c r="W15" i="102"/>
  <c r="U15" i="102"/>
  <c r="AN14" i="102"/>
  <c r="AM14" i="102"/>
  <c r="AK14" i="102"/>
  <c r="AH14" i="102" s="1"/>
  <c r="AJ14" i="102"/>
  <c r="AG14" i="102" s="1"/>
  <c r="Y14" i="102"/>
  <c r="W14" i="102"/>
  <c r="U14" i="102"/>
  <c r="AN13" i="102"/>
  <c r="AM13" i="102"/>
  <c r="AK13" i="102"/>
  <c r="AH13" i="102" s="1"/>
  <c r="AJ13" i="102"/>
  <c r="AG13" i="102"/>
  <c r="Y13" i="102"/>
  <c r="W13" i="102"/>
  <c r="U13" i="102"/>
  <c r="AN12" i="102"/>
  <c r="AM12" i="102"/>
  <c r="AK12" i="102"/>
  <c r="AJ12" i="102"/>
  <c r="AH12" i="102"/>
  <c r="AG12" i="102"/>
  <c r="Y12" i="102"/>
  <c r="W12" i="102"/>
  <c r="U12" i="102"/>
  <c r="AN11" i="102"/>
  <c r="AM11" i="102"/>
  <c r="AK11" i="102"/>
  <c r="AJ11" i="102"/>
  <c r="AG11" i="102" s="1"/>
  <c r="AH11" i="102"/>
  <c r="Y11" i="102"/>
  <c r="W11" i="102"/>
  <c r="U11" i="102"/>
  <c r="AN10" i="102"/>
  <c r="AM10" i="102"/>
  <c r="AK10" i="102"/>
  <c r="AH10" i="102" s="1"/>
  <c r="AJ10" i="102"/>
  <c r="AG10" i="102" s="1"/>
  <c r="Y10" i="102"/>
  <c r="W10" i="102"/>
  <c r="U10" i="102"/>
  <c r="AN9" i="102"/>
  <c r="AM9" i="102"/>
  <c r="AK9" i="102"/>
  <c r="AH9" i="102" s="1"/>
  <c r="AJ9" i="102"/>
  <c r="AG9" i="102"/>
  <c r="Y9" i="102"/>
  <c r="W9" i="102"/>
  <c r="U9" i="102"/>
  <c r="AN8" i="102"/>
  <c r="AM8" i="102"/>
  <c r="AK8" i="102"/>
  <c r="AJ8" i="102"/>
  <c r="AH8" i="102"/>
  <c r="AG8" i="102"/>
  <c r="Y8" i="102"/>
  <c r="W8" i="102"/>
  <c r="U8" i="102"/>
  <c r="AN7" i="102"/>
  <c r="AM7" i="102"/>
  <c r="AK7" i="102"/>
  <c r="AJ7" i="102"/>
  <c r="AG7" i="102" s="1"/>
  <c r="AH7" i="102"/>
  <c r="Y7" i="102"/>
  <c r="W7" i="102"/>
  <c r="U7" i="102"/>
  <c r="W3" i="102"/>
  <c r="AD16" i="102" s="1"/>
  <c r="U3" i="102"/>
  <c r="T35" i="92"/>
  <c r="P35" i="92"/>
  <c r="AE31" i="92"/>
  <c r="AD31" i="92"/>
  <c r="Y31" i="92"/>
  <c r="U31" i="92"/>
  <c r="O31" i="92"/>
  <c r="W31" i="92" s="1"/>
  <c r="AE30" i="92"/>
  <c r="AD30" i="92"/>
  <c r="Y30" i="92"/>
  <c r="O30" i="92"/>
  <c r="W30" i="92" s="1"/>
  <c r="AE29" i="92"/>
  <c r="AD29" i="92"/>
  <c r="Y29" i="92"/>
  <c r="O29" i="92"/>
  <c r="X35" i="92" s="1"/>
  <c r="K35" i="92" s="1"/>
  <c r="I10" i="97" s="1"/>
  <c r="AN23" i="92"/>
  <c r="AM23" i="92"/>
  <c r="Y23" i="92"/>
  <c r="Y24" i="92" s="1"/>
  <c r="W23" i="92"/>
  <c r="U23" i="92"/>
  <c r="AN22" i="92"/>
  <c r="AM22" i="92"/>
  <c r="Y22" i="92"/>
  <c r="W22" i="92"/>
  <c r="U22" i="92"/>
  <c r="AN16" i="92"/>
  <c r="AM16" i="92"/>
  <c r="AK16" i="92"/>
  <c r="AH16" i="92" s="1"/>
  <c r="AJ16" i="92"/>
  <c r="AG16" i="92"/>
  <c r="Y16" i="92"/>
  <c r="W16" i="92"/>
  <c r="U16" i="92"/>
  <c r="AN15" i="92"/>
  <c r="AM15" i="92"/>
  <c r="AK15" i="92"/>
  <c r="AJ15" i="92"/>
  <c r="AG15" i="92" s="1"/>
  <c r="AH15" i="92"/>
  <c r="Y15" i="92"/>
  <c r="W15" i="92"/>
  <c r="U15" i="92"/>
  <c r="AN14" i="92"/>
  <c r="AM14" i="92"/>
  <c r="AK14" i="92"/>
  <c r="AH14" i="92" s="1"/>
  <c r="AJ14" i="92"/>
  <c r="AG14" i="92" s="1"/>
  <c r="Y14" i="92"/>
  <c r="W14" i="92"/>
  <c r="U14" i="92"/>
  <c r="AN13" i="92"/>
  <c r="AM13" i="92"/>
  <c r="AK13" i="92"/>
  <c r="AH13" i="92" s="1"/>
  <c r="AJ13" i="92"/>
  <c r="AG13" i="92"/>
  <c r="Y13" i="92"/>
  <c r="W13" i="92"/>
  <c r="U13" i="92"/>
  <c r="AN12" i="92"/>
  <c r="AM12" i="92"/>
  <c r="AK12" i="92"/>
  <c r="AJ12" i="92"/>
  <c r="AH12" i="92"/>
  <c r="AG12" i="92"/>
  <c r="Y12" i="92"/>
  <c r="W12" i="92"/>
  <c r="U12" i="92"/>
  <c r="AN11" i="92"/>
  <c r="AM11" i="92"/>
  <c r="AK11" i="92"/>
  <c r="AJ11" i="92"/>
  <c r="AG11" i="92" s="1"/>
  <c r="AH11" i="92"/>
  <c r="Y11" i="92"/>
  <c r="W11" i="92"/>
  <c r="U11" i="92"/>
  <c r="AN10" i="92"/>
  <c r="AM10" i="92"/>
  <c r="AK10" i="92"/>
  <c r="AH10" i="92" s="1"/>
  <c r="AJ10" i="92"/>
  <c r="AG10" i="92" s="1"/>
  <c r="Y10" i="92"/>
  <c r="W10" i="92"/>
  <c r="U10" i="92"/>
  <c r="AN9" i="92"/>
  <c r="AM9" i="92"/>
  <c r="AK9" i="92"/>
  <c r="AH9" i="92" s="1"/>
  <c r="AJ9" i="92"/>
  <c r="AG9" i="92"/>
  <c r="Y9" i="92"/>
  <c r="W9" i="92"/>
  <c r="U9" i="92"/>
  <c r="AN8" i="92"/>
  <c r="AM8" i="92"/>
  <c r="AK8" i="92"/>
  <c r="AJ8" i="92"/>
  <c r="AH8" i="92"/>
  <c r="AG8" i="92"/>
  <c r="Y8" i="92"/>
  <c r="W8" i="92"/>
  <c r="U8" i="92"/>
  <c r="AN7" i="92"/>
  <c r="AM7" i="92"/>
  <c r="AK7" i="92"/>
  <c r="AH7" i="92" s="1"/>
  <c r="AJ7" i="92"/>
  <c r="AG7" i="92" s="1"/>
  <c r="Y7" i="92"/>
  <c r="W7" i="92"/>
  <c r="U7" i="92"/>
  <c r="W3" i="92"/>
  <c r="U3" i="92"/>
  <c r="AK16" i="97"/>
  <c r="AJ16" i="97"/>
  <c r="AI16" i="97"/>
  <c r="AH16" i="97"/>
  <c r="AG16" i="97"/>
  <c r="N17" i="97" s="1"/>
  <c r="AF16" i="97"/>
  <c r="N16" i="97"/>
  <c r="AD15" i="108" l="1"/>
  <c r="AC8" i="108"/>
  <c r="AD15" i="107"/>
  <c r="AD15" i="106"/>
  <c r="AD16" i="103"/>
  <c r="AC15" i="102"/>
  <c r="AD16" i="92"/>
  <c r="AC15" i="92"/>
  <c r="AC14" i="103"/>
  <c r="Y24" i="107"/>
  <c r="W24" i="103"/>
  <c r="W24" i="105"/>
  <c r="AC16" i="106"/>
  <c r="U24" i="102"/>
  <c r="U30" i="92"/>
  <c r="Y32" i="92"/>
  <c r="U29" i="92"/>
  <c r="W29" i="92"/>
  <c r="U24" i="92"/>
  <c r="Y24" i="102"/>
  <c r="U24" i="103"/>
  <c r="W32" i="103"/>
  <c r="W24" i="104"/>
  <c r="W24" i="106"/>
  <c r="Y17" i="107"/>
  <c r="U17" i="107"/>
  <c r="U32" i="107"/>
  <c r="W24" i="92"/>
  <c r="AC10" i="103"/>
  <c r="Y24" i="103"/>
  <c r="AD10" i="104"/>
  <c r="AD13" i="105"/>
  <c r="AD9" i="106"/>
  <c r="W17" i="105"/>
  <c r="U32" i="105"/>
  <c r="AD13" i="107"/>
  <c r="U17" i="108"/>
  <c r="V36" i="108" s="1"/>
  <c r="AD7" i="103"/>
  <c r="AD11" i="103"/>
  <c r="AD15" i="103"/>
  <c r="AD13" i="108"/>
  <c r="AD7" i="92"/>
  <c r="AD11" i="92"/>
  <c r="AD15" i="92"/>
  <c r="AD7" i="102"/>
  <c r="AD11" i="102"/>
  <c r="AD15" i="102"/>
  <c r="Y17" i="103"/>
  <c r="AD7" i="104"/>
  <c r="AC9" i="104"/>
  <c r="Y17" i="105"/>
  <c r="U17" i="106"/>
  <c r="W17" i="92"/>
  <c r="AD10" i="92"/>
  <c r="AD14" i="92"/>
  <c r="W17" i="102"/>
  <c r="AD10" i="102"/>
  <c r="AD14" i="102"/>
  <c r="U32" i="102"/>
  <c r="AC9" i="103"/>
  <c r="AC13" i="103"/>
  <c r="U32" i="103"/>
  <c r="AD14" i="104"/>
  <c r="U24" i="104"/>
  <c r="U32" i="104"/>
  <c r="U17" i="105"/>
  <c r="Y24" i="105"/>
  <c r="AC8" i="106"/>
  <c r="AD13" i="106"/>
  <c r="W17" i="107"/>
  <c r="AD9" i="107"/>
  <c r="W24" i="107"/>
  <c r="AD9" i="108"/>
  <c r="W24" i="108"/>
  <c r="M11" i="110"/>
  <c r="V30" i="110" s="1"/>
  <c r="O11" i="110"/>
  <c r="V31" i="110" s="1"/>
  <c r="AC9" i="92"/>
  <c r="AC13" i="92"/>
  <c r="AC9" i="102"/>
  <c r="AC13" i="102"/>
  <c r="AC13" i="104"/>
  <c r="Q11" i="110"/>
  <c r="V32" i="110" s="1"/>
  <c r="Y17" i="92"/>
  <c r="AC10" i="92"/>
  <c r="AC14" i="92"/>
  <c r="W32" i="92"/>
  <c r="Y17" i="102"/>
  <c r="AC10" i="102"/>
  <c r="AC14" i="102"/>
  <c r="W32" i="102"/>
  <c r="W17" i="103"/>
  <c r="AD10" i="103"/>
  <c r="AD14" i="103"/>
  <c r="U17" i="104"/>
  <c r="AD9" i="105"/>
  <c r="U24" i="105"/>
  <c r="Y17" i="106"/>
  <c r="V38" i="106" s="1"/>
  <c r="U32" i="106"/>
  <c r="W32" i="108"/>
  <c r="U17" i="102"/>
  <c r="AC12" i="106"/>
  <c r="AC14" i="107"/>
  <c r="AC10" i="107"/>
  <c r="AC15" i="107"/>
  <c r="AC11" i="107"/>
  <c r="AC7" i="107"/>
  <c r="AC13" i="107"/>
  <c r="AC9" i="107"/>
  <c r="AC12" i="107"/>
  <c r="W17" i="104"/>
  <c r="V37" i="104" s="1"/>
  <c r="AC14" i="105"/>
  <c r="AC10" i="105"/>
  <c r="AC15" i="105"/>
  <c r="AC11" i="105"/>
  <c r="AC7" i="105"/>
  <c r="AC13" i="105"/>
  <c r="AC9" i="105"/>
  <c r="V38" i="105"/>
  <c r="W32" i="105"/>
  <c r="W17" i="106"/>
  <c r="AC8" i="107"/>
  <c r="AC16" i="107"/>
  <c r="U24" i="107"/>
  <c r="W32" i="107"/>
  <c r="W17" i="108"/>
  <c r="U17" i="92"/>
  <c r="U17" i="103"/>
  <c r="AC15" i="104"/>
  <c r="Y17" i="104"/>
  <c r="V38" i="104" s="1"/>
  <c r="AC8" i="105"/>
  <c r="AC12" i="105"/>
  <c r="AC16" i="105"/>
  <c r="AC14" i="106"/>
  <c r="AC10" i="106"/>
  <c r="AC15" i="106"/>
  <c r="AC11" i="106"/>
  <c r="AC7" i="106"/>
  <c r="AC13" i="106"/>
  <c r="AC9" i="106"/>
  <c r="U24" i="106"/>
  <c r="W32" i="106"/>
  <c r="AC14" i="108"/>
  <c r="AC10" i="108"/>
  <c r="AC16" i="108"/>
  <c r="AC15" i="108"/>
  <c r="AC11" i="108"/>
  <c r="AC7" i="108"/>
  <c r="AC13" i="108"/>
  <c r="AC9" i="108"/>
  <c r="Y17" i="108"/>
  <c r="V38" i="108" s="1"/>
  <c r="AC12" i="108"/>
  <c r="AC10" i="104"/>
  <c r="AD11" i="104"/>
  <c r="AC14" i="104"/>
  <c r="AD15" i="104"/>
  <c r="AD10" i="105"/>
  <c r="AD14" i="105"/>
  <c r="AD10" i="106"/>
  <c r="AD14" i="106"/>
  <c r="AD10" i="107"/>
  <c r="AD14" i="107"/>
  <c r="AD10" i="108"/>
  <c r="AD14" i="108"/>
  <c r="AC8" i="92"/>
  <c r="AD9" i="92"/>
  <c r="AC12" i="92"/>
  <c r="AD13" i="92"/>
  <c r="AC16" i="92"/>
  <c r="AC8" i="102"/>
  <c r="AD9" i="102"/>
  <c r="AC12" i="102"/>
  <c r="AD13" i="102"/>
  <c r="AC16" i="102"/>
  <c r="AC8" i="103"/>
  <c r="AD9" i="103"/>
  <c r="AC12" i="103"/>
  <c r="AD13" i="103"/>
  <c r="AC16" i="103"/>
  <c r="AC8" i="104"/>
  <c r="AD9" i="104"/>
  <c r="AC12" i="104"/>
  <c r="AD13" i="104"/>
  <c r="AC16" i="104"/>
  <c r="AD8" i="105"/>
  <c r="AD12" i="105"/>
  <c r="AD16" i="105"/>
  <c r="AD8" i="106"/>
  <c r="AD12" i="106"/>
  <c r="AD16" i="106"/>
  <c r="AD8" i="107"/>
  <c r="AD12" i="107"/>
  <c r="AD16" i="107"/>
  <c r="AD8" i="108"/>
  <c r="AD12" i="108"/>
  <c r="AD16" i="108"/>
  <c r="AC7" i="92"/>
  <c r="AD8" i="92"/>
  <c r="AC11" i="92"/>
  <c r="AD12" i="92"/>
  <c r="AC7" i="102"/>
  <c r="AD8" i="102"/>
  <c r="AC11" i="102"/>
  <c r="AD12" i="102"/>
  <c r="AC7" i="103"/>
  <c r="AD8" i="103"/>
  <c r="AC11" i="103"/>
  <c r="AD12" i="103"/>
  <c r="AC7" i="104"/>
  <c r="AD8" i="104"/>
  <c r="AC11" i="104"/>
  <c r="AD12" i="104"/>
  <c r="AD7" i="105"/>
  <c r="AD11" i="105"/>
  <c r="AD7" i="106"/>
  <c r="AD11" i="106"/>
  <c r="AD7" i="107"/>
  <c r="AD11" i="107"/>
  <c r="AD7" i="108"/>
  <c r="AD11" i="108"/>
  <c r="V36" i="107" l="1"/>
  <c r="V37" i="105"/>
  <c r="V37" i="102"/>
  <c r="V38" i="103"/>
  <c r="V36" i="103"/>
  <c r="V37" i="103"/>
  <c r="V38" i="107"/>
  <c r="U32" i="92"/>
  <c r="V36" i="92" s="1"/>
  <c r="V38" i="92"/>
  <c r="AG18" i="97" s="1"/>
  <c r="I11" i="97" s="1"/>
  <c r="I16" i="97" s="1"/>
  <c r="S16" i="97" s="1"/>
  <c r="V37" i="92"/>
  <c r="V37" i="107"/>
  <c r="V36" i="106"/>
  <c r="V38" i="102"/>
  <c r="V36" i="104"/>
  <c r="V36" i="102"/>
  <c r="V37" i="108"/>
  <c r="V36" i="105"/>
  <c r="V37" i="106"/>
  <c r="AG20" i="97" l="1"/>
  <c r="W11" i="97" s="1"/>
  <c r="AG19" i="97"/>
  <c r="W10" i="97" s="1"/>
  <c r="I17" i="97" s="1"/>
  <c r="S17" i="97" s="1"/>
</calcChain>
</file>

<file path=xl/comments1.xml><?xml version="1.0" encoding="utf-8"?>
<comments xmlns="http://schemas.openxmlformats.org/spreadsheetml/2006/main">
  <authors>
    <author>012</author>
    <author>小室 達也</author>
  </authors>
  <commentList>
    <comment ref="M4" authorId="0" shapeId="0">
      <text>
        <r>
          <rPr>
            <sz val="9"/>
            <color indexed="81"/>
            <rFont val="ＭＳ Ｐゴシック"/>
            <family val="3"/>
            <charset val="128"/>
          </rPr>
          <t>取得日射量補正係数は簡略計算法にて算出</t>
        </r>
      </text>
    </comment>
    <comment ref="S27" authorId="1" shapeId="0">
      <text>
        <r>
          <rPr>
            <sz val="9"/>
            <color indexed="81"/>
            <rFont val="ＭＳ Ｐゴシック"/>
            <family val="3"/>
            <charset val="128"/>
          </rPr>
          <t>日射の当たらない基礎等の場合は、チェックを入れる</t>
        </r>
      </text>
    </comment>
  </commentList>
</comments>
</file>

<file path=xl/comments2.xml><?xml version="1.0" encoding="utf-8"?>
<comments xmlns="http://schemas.openxmlformats.org/spreadsheetml/2006/main">
  <authors>
    <author>012</author>
    <author>小室 達也</author>
  </authors>
  <commentList>
    <comment ref="M4" authorId="0" shapeId="0">
      <text>
        <r>
          <rPr>
            <sz val="9"/>
            <color indexed="81"/>
            <rFont val="ＭＳ Ｐゴシック"/>
            <family val="3"/>
            <charset val="128"/>
          </rPr>
          <t>取得日射量補正係数は簡略計算法にて算出</t>
        </r>
      </text>
    </comment>
    <comment ref="S27" authorId="1" shapeId="0">
      <text>
        <r>
          <rPr>
            <sz val="9"/>
            <color indexed="81"/>
            <rFont val="ＭＳ Ｐゴシック"/>
            <family val="3"/>
            <charset val="128"/>
          </rPr>
          <t>日射の当たらない基礎等の場合は、チェックを入れる</t>
        </r>
      </text>
    </comment>
  </commentList>
</comments>
</file>

<file path=xl/comments3.xml><?xml version="1.0" encoding="utf-8"?>
<comments xmlns="http://schemas.openxmlformats.org/spreadsheetml/2006/main">
  <authors>
    <author>012</author>
    <author>小室 達也</author>
  </authors>
  <commentList>
    <comment ref="M4" authorId="0" shapeId="0">
      <text>
        <r>
          <rPr>
            <sz val="9"/>
            <color indexed="81"/>
            <rFont val="ＭＳ Ｐゴシック"/>
            <family val="3"/>
            <charset val="128"/>
          </rPr>
          <t>取得日射量補正係数は簡略計算法にて算出</t>
        </r>
      </text>
    </comment>
    <comment ref="S27" authorId="1" shapeId="0">
      <text>
        <r>
          <rPr>
            <sz val="9"/>
            <color indexed="81"/>
            <rFont val="ＭＳ Ｐゴシック"/>
            <family val="3"/>
            <charset val="128"/>
          </rPr>
          <t>日射の当たらない基礎等の場合は、チェックを入れる</t>
        </r>
      </text>
    </comment>
  </commentList>
</comments>
</file>

<file path=xl/comments4.xml><?xml version="1.0" encoding="utf-8"?>
<comments xmlns="http://schemas.openxmlformats.org/spreadsheetml/2006/main">
  <authors>
    <author>012</author>
    <author>小室 達也</author>
  </authors>
  <commentList>
    <comment ref="M4" authorId="0" shapeId="0">
      <text>
        <r>
          <rPr>
            <sz val="9"/>
            <color indexed="81"/>
            <rFont val="ＭＳ Ｐゴシック"/>
            <family val="3"/>
            <charset val="128"/>
          </rPr>
          <t>取得日射量補正係数は簡略計算法にて算出</t>
        </r>
      </text>
    </comment>
    <comment ref="S27" authorId="1" shapeId="0">
      <text>
        <r>
          <rPr>
            <sz val="9"/>
            <color indexed="81"/>
            <rFont val="ＭＳ Ｐゴシック"/>
            <family val="3"/>
            <charset val="128"/>
          </rPr>
          <t>日射の当たらない基礎等の場合は、チェックを入れる</t>
        </r>
      </text>
    </comment>
  </commentList>
</comments>
</file>

<file path=xl/comments5.xml><?xml version="1.0" encoding="utf-8"?>
<comments xmlns="http://schemas.openxmlformats.org/spreadsheetml/2006/main">
  <authors>
    <author>012</author>
    <author>小室 達也</author>
  </authors>
  <commentList>
    <comment ref="M4" authorId="0" shapeId="0">
      <text>
        <r>
          <rPr>
            <sz val="9"/>
            <color indexed="81"/>
            <rFont val="ＭＳ Ｐゴシック"/>
            <family val="3"/>
            <charset val="128"/>
          </rPr>
          <t>取得日射量補正係数は簡略計算法にて算出</t>
        </r>
      </text>
    </comment>
    <comment ref="S27" authorId="1" shapeId="0">
      <text>
        <r>
          <rPr>
            <sz val="9"/>
            <color indexed="81"/>
            <rFont val="ＭＳ Ｐゴシック"/>
            <family val="3"/>
            <charset val="128"/>
          </rPr>
          <t>日射の当たらない基礎等の場合は、チェックを入れる</t>
        </r>
      </text>
    </comment>
  </commentList>
</comments>
</file>

<file path=xl/comments6.xml><?xml version="1.0" encoding="utf-8"?>
<comments xmlns="http://schemas.openxmlformats.org/spreadsheetml/2006/main">
  <authors>
    <author>012</author>
    <author>小室 達也</author>
  </authors>
  <commentList>
    <comment ref="M4" authorId="0" shapeId="0">
      <text>
        <r>
          <rPr>
            <sz val="9"/>
            <color indexed="81"/>
            <rFont val="ＭＳ Ｐゴシック"/>
            <family val="3"/>
            <charset val="128"/>
          </rPr>
          <t>取得日射量補正係数は簡略計算法にて算出</t>
        </r>
      </text>
    </comment>
    <comment ref="S27" authorId="1" shapeId="0">
      <text>
        <r>
          <rPr>
            <sz val="9"/>
            <color indexed="81"/>
            <rFont val="ＭＳ Ｐゴシック"/>
            <family val="3"/>
            <charset val="128"/>
          </rPr>
          <t>日射の当たらない基礎等の場合は、チェックを入れる</t>
        </r>
      </text>
    </comment>
  </commentList>
</comments>
</file>

<file path=xl/comments7.xml><?xml version="1.0" encoding="utf-8"?>
<comments xmlns="http://schemas.openxmlformats.org/spreadsheetml/2006/main">
  <authors>
    <author>012</author>
    <author>小室 達也</author>
  </authors>
  <commentList>
    <comment ref="M4" authorId="0" shapeId="0">
      <text>
        <r>
          <rPr>
            <sz val="9"/>
            <color indexed="81"/>
            <rFont val="ＭＳ Ｐゴシック"/>
            <family val="3"/>
            <charset val="128"/>
          </rPr>
          <t>取得日射量補正係数は簡略計算法にて算出</t>
        </r>
      </text>
    </comment>
    <comment ref="S27" authorId="1" shapeId="0">
      <text>
        <r>
          <rPr>
            <sz val="9"/>
            <color indexed="81"/>
            <rFont val="ＭＳ Ｐゴシック"/>
            <family val="3"/>
            <charset val="128"/>
          </rPr>
          <t>日射の当たらない基礎等の場合は、チェックを入れる</t>
        </r>
      </text>
    </comment>
  </commentList>
</comments>
</file>

<file path=xl/comments8.xml><?xml version="1.0" encoding="utf-8"?>
<comments xmlns="http://schemas.openxmlformats.org/spreadsheetml/2006/main">
  <authors>
    <author>012</author>
    <author>小室 達也</author>
  </authors>
  <commentList>
    <comment ref="M4" authorId="0" shapeId="0">
      <text>
        <r>
          <rPr>
            <sz val="9"/>
            <color indexed="81"/>
            <rFont val="ＭＳ Ｐゴシック"/>
            <family val="3"/>
            <charset val="128"/>
          </rPr>
          <t>取得日射量補正係数は簡略計算法にて算出</t>
        </r>
      </text>
    </comment>
    <comment ref="S27" authorId="1" shapeId="0">
      <text>
        <r>
          <rPr>
            <sz val="9"/>
            <color indexed="81"/>
            <rFont val="ＭＳ Ｐゴシック"/>
            <family val="3"/>
            <charset val="128"/>
          </rPr>
          <t>日射の当たらない基礎等の場合は、チェックを入れる</t>
        </r>
      </text>
    </comment>
  </commentList>
</comments>
</file>

<file path=xl/sharedStrings.xml><?xml version="1.0" encoding="utf-8"?>
<sst xmlns="http://schemas.openxmlformats.org/spreadsheetml/2006/main" count="870" uniqueCount="235">
  <si>
    <t>仕様番号</t>
    <rPh sb="0" eb="2">
      <t>シヨウ</t>
    </rPh>
    <rPh sb="2" eb="4">
      <t>バンゴウ</t>
    </rPh>
    <phoneticPr fontId="2"/>
  </si>
  <si>
    <t>外壁</t>
    <rPh sb="0" eb="2">
      <t>ガイヘキ</t>
    </rPh>
    <phoneticPr fontId="2"/>
  </si>
  <si>
    <t>階</t>
    <rPh sb="0" eb="1">
      <t>カイ</t>
    </rPh>
    <phoneticPr fontId="2"/>
  </si>
  <si>
    <t>ｙ2</t>
    <phoneticPr fontId="2"/>
  </si>
  <si>
    <t>冷房期</t>
    <rPh sb="0" eb="2">
      <t>レイボウ</t>
    </rPh>
    <rPh sb="2" eb="3">
      <t>キ</t>
    </rPh>
    <phoneticPr fontId="2"/>
  </si>
  <si>
    <t>1）窓の入力</t>
    <rPh sb="2" eb="3">
      <t>マド</t>
    </rPh>
    <rPh sb="4" eb="6">
      <t>ニュウリョク</t>
    </rPh>
    <phoneticPr fontId="2"/>
  </si>
  <si>
    <t>窓番号</t>
    <rPh sb="0" eb="1">
      <t>マド</t>
    </rPh>
    <rPh sb="1" eb="3">
      <t>バンゴウ</t>
    </rPh>
    <phoneticPr fontId="2"/>
  </si>
  <si>
    <t>熱貫流率</t>
    <rPh sb="0" eb="1">
      <t>ネツ</t>
    </rPh>
    <rPh sb="1" eb="3">
      <t>カンリュウ</t>
    </rPh>
    <rPh sb="3" eb="4">
      <t>リツ</t>
    </rPh>
    <phoneticPr fontId="2"/>
  </si>
  <si>
    <t>高さ</t>
    <rPh sb="0" eb="1">
      <t>タカ</t>
    </rPh>
    <phoneticPr fontId="2"/>
  </si>
  <si>
    <t>幅</t>
    <rPh sb="0" eb="1">
      <t>ハバ</t>
    </rPh>
    <phoneticPr fontId="2"/>
  </si>
  <si>
    <t>付属部材
の有無</t>
    <rPh sb="0" eb="2">
      <t>フゾク</t>
    </rPh>
    <rPh sb="2" eb="4">
      <t>ブザイ</t>
    </rPh>
    <rPh sb="6" eb="8">
      <t>ウム</t>
    </rPh>
    <phoneticPr fontId="2"/>
  </si>
  <si>
    <t>Z</t>
    <phoneticPr fontId="2"/>
  </si>
  <si>
    <t>ｙ1</t>
    <phoneticPr fontId="2"/>
  </si>
  <si>
    <t>熱損失</t>
    <rPh sb="0" eb="1">
      <t>ネツ</t>
    </rPh>
    <rPh sb="1" eb="3">
      <t>ソンシツ</t>
    </rPh>
    <phoneticPr fontId="2"/>
  </si>
  <si>
    <t>取得日射量補正係数</t>
    <rPh sb="0" eb="2">
      <t>シュトク</t>
    </rPh>
    <rPh sb="2" eb="4">
      <t>ニッシャ</t>
    </rPh>
    <rPh sb="4" eb="5">
      <t>リョウ</t>
    </rPh>
    <rPh sb="5" eb="7">
      <t>ホセイ</t>
    </rPh>
    <rPh sb="7" eb="9">
      <t>ケイスウ</t>
    </rPh>
    <phoneticPr fontId="2"/>
  </si>
  <si>
    <t>2）ドアの入力</t>
    <rPh sb="5" eb="7">
      <t>ニュウリョク</t>
    </rPh>
    <phoneticPr fontId="2"/>
  </si>
  <si>
    <t>ドア番号</t>
    <rPh sb="2" eb="4">
      <t>バンゴウ</t>
    </rPh>
    <phoneticPr fontId="2"/>
  </si>
  <si>
    <t>3）外壁の入力</t>
    <rPh sb="2" eb="4">
      <t>ガイヘキ</t>
    </rPh>
    <rPh sb="5" eb="7">
      <t>ニュウリョク</t>
    </rPh>
    <phoneticPr fontId="2"/>
  </si>
  <si>
    <t>暖房期</t>
    <rPh sb="0" eb="2">
      <t>ダンボウ</t>
    </rPh>
    <rPh sb="2" eb="3">
      <t>キ</t>
    </rPh>
    <phoneticPr fontId="2"/>
  </si>
  <si>
    <t>㎡）</t>
    <phoneticPr fontId="2"/>
  </si>
  <si>
    <t>　総熱損失</t>
    <rPh sb="1" eb="2">
      <t>ソウ</t>
    </rPh>
    <rPh sb="2" eb="3">
      <t>ネツ</t>
    </rPh>
    <rPh sb="3" eb="5">
      <t>ソンシツ</t>
    </rPh>
    <phoneticPr fontId="2"/>
  </si>
  <si>
    <t>W/K</t>
    <phoneticPr fontId="2"/>
  </si>
  <si>
    <t>ドア</t>
    <phoneticPr fontId="2"/>
  </si>
  <si>
    <t>（窓</t>
    <rPh sb="1" eb="2">
      <t>マド</t>
    </rPh>
    <phoneticPr fontId="2"/>
  </si>
  <si>
    <t>㎡</t>
    <phoneticPr fontId="2"/>
  </si>
  <si>
    <t>㎡、</t>
    <phoneticPr fontId="2"/>
  </si>
  <si>
    <t>1）基本情報の入力</t>
    <rPh sb="2" eb="4">
      <t>キホン</t>
    </rPh>
    <rPh sb="4" eb="6">
      <t>ジョウホウ</t>
    </rPh>
    <rPh sb="7" eb="9">
      <t>ニュウリョク</t>
    </rPh>
    <phoneticPr fontId="2"/>
  </si>
  <si>
    <t>　住宅の名称</t>
    <rPh sb="1" eb="3">
      <t>ジュウタク</t>
    </rPh>
    <rPh sb="4" eb="6">
      <t>メイショウ</t>
    </rPh>
    <phoneticPr fontId="2"/>
  </si>
  <si>
    <t>　住宅の所在地</t>
    <rPh sb="1" eb="3">
      <t>ジュウタク</t>
    </rPh>
    <rPh sb="4" eb="7">
      <t>ショザイチ</t>
    </rPh>
    <phoneticPr fontId="2"/>
  </si>
  <si>
    <t>　住宅の規模</t>
    <rPh sb="1" eb="3">
      <t>ジュウタク</t>
    </rPh>
    <rPh sb="4" eb="6">
      <t>キボ</t>
    </rPh>
    <phoneticPr fontId="2"/>
  </si>
  <si>
    <t>（地域区分）</t>
    <rPh sb="1" eb="3">
      <t>チイキ</t>
    </rPh>
    <rPh sb="3" eb="5">
      <t>クブン</t>
    </rPh>
    <phoneticPr fontId="2"/>
  </si>
  <si>
    <t>地上</t>
    <rPh sb="0" eb="2">
      <t>チジョウ</t>
    </rPh>
    <phoneticPr fontId="2"/>
  </si>
  <si>
    <t>、地下</t>
    <rPh sb="1" eb="3">
      <t>チカ</t>
    </rPh>
    <phoneticPr fontId="2"/>
  </si>
  <si>
    <t>2）計算結果</t>
    <rPh sb="2" eb="4">
      <t>ケイサン</t>
    </rPh>
    <rPh sb="4" eb="6">
      <t>ケッカ</t>
    </rPh>
    <phoneticPr fontId="2"/>
  </si>
  <si>
    <t>　注１：本計算シートに入力している面積は、別途平面図や立面図等で計算過程を明示しています。</t>
    <rPh sb="1" eb="2">
      <t>チュウ</t>
    </rPh>
    <rPh sb="4" eb="5">
      <t>ホン</t>
    </rPh>
    <rPh sb="5" eb="7">
      <t>ケイサン</t>
    </rPh>
    <rPh sb="11" eb="13">
      <t>ニュウリョク</t>
    </rPh>
    <rPh sb="17" eb="19">
      <t>メンセキ</t>
    </rPh>
    <rPh sb="21" eb="23">
      <t>ベット</t>
    </rPh>
    <rPh sb="23" eb="26">
      <t>ヘイメンズ</t>
    </rPh>
    <rPh sb="27" eb="30">
      <t>リツメンズ</t>
    </rPh>
    <rPh sb="30" eb="31">
      <t>トウ</t>
    </rPh>
    <rPh sb="32" eb="34">
      <t>ケイサン</t>
    </rPh>
    <rPh sb="34" eb="36">
      <t>カテイ</t>
    </rPh>
    <rPh sb="37" eb="39">
      <t>メイジ</t>
    </rPh>
    <phoneticPr fontId="2"/>
  </si>
  <si>
    <t>　注２：本計算シートに入力している部位の熱貫流率は、別途計算書等を添付しています。</t>
    <rPh sb="1" eb="2">
      <t>チュウ</t>
    </rPh>
    <rPh sb="4" eb="5">
      <t>ホン</t>
    </rPh>
    <rPh sb="5" eb="7">
      <t>ケイサン</t>
    </rPh>
    <rPh sb="11" eb="13">
      <t>ニュウリョク</t>
    </rPh>
    <rPh sb="17" eb="19">
      <t>ブイ</t>
    </rPh>
    <rPh sb="20" eb="21">
      <t>ネツ</t>
    </rPh>
    <rPh sb="21" eb="23">
      <t>カンリュウ</t>
    </rPh>
    <rPh sb="23" eb="24">
      <t>リツ</t>
    </rPh>
    <rPh sb="26" eb="28">
      <t>ベット</t>
    </rPh>
    <rPh sb="28" eb="32">
      <t>ケイサンショトウ</t>
    </rPh>
    <rPh sb="33" eb="35">
      <t>テンプ</t>
    </rPh>
    <phoneticPr fontId="2"/>
  </si>
  <si>
    <t>W/（㎡K）</t>
    <phoneticPr fontId="2"/>
  </si>
  <si>
    <t>方位係数</t>
    <rPh sb="0" eb="2">
      <t>ホウイ</t>
    </rPh>
    <rPh sb="2" eb="4">
      <t>ケイスウ</t>
    </rPh>
    <phoneticPr fontId="2"/>
  </si>
  <si>
    <t>部位番号</t>
    <rPh sb="0" eb="2">
      <t>ブイ</t>
    </rPh>
    <rPh sb="2" eb="4">
      <t>バンゴウ</t>
    </rPh>
    <phoneticPr fontId="2"/>
  </si>
  <si>
    <t>部位名</t>
    <rPh sb="0" eb="2">
      <t>ブイ</t>
    </rPh>
    <rPh sb="2" eb="3">
      <t>メイ</t>
    </rPh>
    <phoneticPr fontId="2"/>
  </si>
  <si>
    <t>断熱材
熱抵抗
Ｒ１</t>
    <rPh sb="0" eb="3">
      <t>ダンネツザイ</t>
    </rPh>
    <rPh sb="4" eb="5">
      <t>ネツ</t>
    </rPh>
    <rPh sb="5" eb="7">
      <t>テイコウ</t>
    </rPh>
    <phoneticPr fontId="2"/>
  </si>
  <si>
    <t>断熱材
熱抵抗
Ｒ２</t>
    <rPh sb="0" eb="3">
      <t>ダンネツザイ</t>
    </rPh>
    <rPh sb="4" eb="5">
      <t>ネツ</t>
    </rPh>
    <rPh sb="5" eb="7">
      <t>テイコウ</t>
    </rPh>
    <phoneticPr fontId="2"/>
  </si>
  <si>
    <t>断熱材
熱抵抗
Ｒ３</t>
    <rPh sb="0" eb="3">
      <t>ダンネツザイ</t>
    </rPh>
    <rPh sb="4" eb="5">
      <t>ネツ</t>
    </rPh>
    <rPh sb="5" eb="7">
      <t>テイコウ</t>
    </rPh>
    <phoneticPr fontId="2"/>
  </si>
  <si>
    <t>断熱材
熱抵抗
Ｒ４</t>
    <rPh sb="0" eb="3">
      <t>ダンネツザイ</t>
    </rPh>
    <rPh sb="4" eb="5">
      <t>ネツ</t>
    </rPh>
    <rPh sb="5" eb="7">
      <t>テイコウ</t>
    </rPh>
    <phoneticPr fontId="2"/>
  </si>
  <si>
    <t>基礎高
Ｈ１</t>
    <rPh sb="0" eb="2">
      <t>キソ</t>
    </rPh>
    <rPh sb="2" eb="3">
      <t>タカ</t>
    </rPh>
    <phoneticPr fontId="2"/>
  </si>
  <si>
    <t>底盤高
Ｈ２</t>
    <rPh sb="0" eb="1">
      <t>テイ</t>
    </rPh>
    <rPh sb="1" eb="2">
      <t>バン</t>
    </rPh>
    <rPh sb="2" eb="3">
      <t>タカ</t>
    </rPh>
    <phoneticPr fontId="2"/>
  </si>
  <si>
    <t>断熱材
根入れ
Ｗ１</t>
    <rPh sb="0" eb="3">
      <t>ダンネツザイ</t>
    </rPh>
    <rPh sb="4" eb="5">
      <t>ネ</t>
    </rPh>
    <rPh sb="5" eb="6">
      <t>イ</t>
    </rPh>
    <phoneticPr fontId="2"/>
  </si>
  <si>
    <t>断熱材
折返し
Ｗ２</t>
    <rPh sb="0" eb="3">
      <t>ダンネツザイ</t>
    </rPh>
    <rPh sb="4" eb="6">
      <t>オリカエ</t>
    </rPh>
    <phoneticPr fontId="2"/>
  </si>
  <si>
    <t>断熱材
折返し
Ｗ３</t>
    <rPh sb="0" eb="3">
      <t>ダンネツザイ</t>
    </rPh>
    <rPh sb="4" eb="6">
      <t>オリカエ</t>
    </rPh>
    <phoneticPr fontId="2"/>
  </si>
  <si>
    <t>適　用
計算式
番　号</t>
    <rPh sb="0" eb="1">
      <t>テキ</t>
    </rPh>
    <rPh sb="2" eb="3">
      <t>ヨウ</t>
    </rPh>
    <rPh sb="4" eb="6">
      <t>ケイサン</t>
    </rPh>
    <rPh sb="6" eb="7">
      <t>シキ</t>
    </rPh>
    <rPh sb="8" eb="9">
      <t>バン</t>
    </rPh>
    <rPh sb="10" eb="11">
      <t>ゴウ</t>
    </rPh>
    <phoneticPr fontId="2"/>
  </si>
  <si>
    <t>　注１：上記各部の寸法は下図の寸法等（長さｍ、熱抵抗㎡K/W）を入力して下さい。</t>
    <rPh sb="1" eb="2">
      <t>チュウ</t>
    </rPh>
    <rPh sb="4" eb="6">
      <t>ジョウキ</t>
    </rPh>
    <rPh sb="6" eb="8">
      <t>カクブ</t>
    </rPh>
    <rPh sb="9" eb="11">
      <t>スンポウ</t>
    </rPh>
    <rPh sb="12" eb="14">
      <t>カズ</t>
    </rPh>
    <rPh sb="15" eb="17">
      <t>スンポウ</t>
    </rPh>
    <rPh sb="17" eb="18">
      <t>トウ</t>
    </rPh>
    <rPh sb="19" eb="20">
      <t>ナガ</t>
    </rPh>
    <rPh sb="23" eb="24">
      <t>ネツ</t>
    </rPh>
    <rPh sb="24" eb="26">
      <t>テイコウ</t>
    </rPh>
    <rPh sb="32" eb="34">
      <t>ニュウリョク</t>
    </rPh>
    <rPh sb="36" eb="37">
      <t>クダ</t>
    </rPh>
    <phoneticPr fontId="2"/>
  </si>
  <si>
    <t>　注２：Ｈ１の寸法（基礎高さ）は0.4ｍを上限とし、0.4ｍを超える部分は内訳計算シートＡで計算して下さい。</t>
    <rPh sb="1" eb="2">
      <t>チュウ</t>
    </rPh>
    <rPh sb="7" eb="9">
      <t>スンポウ</t>
    </rPh>
    <rPh sb="10" eb="12">
      <t>キソ</t>
    </rPh>
    <rPh sb="12" eb="13">
      <t>タカ</t>
    </rPh>
    <rPh sb="21" eb="23">
      <t>ジョウゲン</t>
    </rPh>
    <rPh sb="31" eb="32">
      <t>コ</t>
    </rPh>
    <rPh sb="34" eb="36">
      <t>ブブン</t>
    </rPh>
    <rPh sb="37" eb="39">
      <t>ウチワケ</t>
    </rPh>
    <rPh sb="39" eb="41">
      <t>ケイサン</t>
    </rPh>
    <rPh sb="46" eb="48">
      <t>ケイサン</t>
    </rPh>
    <rPh sb="50" eb="51">
      <t>クダ</t>
    </rPh>
    <phoneticPr fontId="2"/>
  </si>
  <si>
    <t>基礎等
外周長
Ｌ</t>
    <rPh sb="0" eb="2">
      <t>キソ</t>
    </rPh>
    <rPh sb="2" eb="3">
      <t>トウ</t>
    </rPh>
    <rPh sb="4" eb="6">
      <t>ガイシュウ</t>
    </rPh>
    <rPh sb="6" eb="7">
      <t>チョウ</t>
    </rPh>
    <phoneticPr fontId="2"/>
  </si>
  <si>
    <t>温度差
係　数</t>
    <rPh sb="0" eb="3">
      <t>オンドサ</t>
    </rPh>
    <rPh sb="4" eb="5">
      <t>カカ</t>
    </rPh>
    <rPh sb="6" eb="7">
      <t>スウ</t>
    </rPh>
    <phoneticPr fontId="2"/>
  </si>
  <si>
    <t>　注４：内訳計算シートＡは、住宅の外壁の面する方位別のシートに入力してください。</t>
    <rPh sb="1" eb="2">
      <t>チュウ</t>
    </rPh>
    <rPh sb="4" eb="6">
      <t>ウチワケ</t>
    </rPh>
    <rPh sb="6" eb="8">
      <t>ケイサン</t>
    </rPh>
    <rPh sb="14" eb="16">
      <t>ジュウタク</t>
    </rPh>
    <rPh sb="17" eb="19">
      <t>ガイヘキ</t>
    </rPh>
    <rPh sb="20" eb="21">
      <t>メン</t>
    </rPh>
    <rPh sb="23" eb="25">
      <t>ホウイ</t>
    </rPh>
    <rPh sb="25" eb="26">
      <t>ベツ</t>
    </rPh>
    <rPh sb="31" eb="33">
      <t>ニュウリョク</t>
    </rPh>
    <phoneticPr fontId="2"/>
  </si>
  <si>
    <t>熱伝導率λ
Ｗ/(ｍ・Ｋ)</t>
    <rPh sb="0" eb="1">
      <t>ネツ</t>
    </rPh>
    <rPh sb="1" eb="4">
      <t>デンドウリツ</t>
    </rPh>
    <phoneticPr fontId="2"/>
  </si>
  <si>
    <t>厚さｄ
ｍ</t>
    <rPh sb="0" eb="1">
      <t>アツ</t>
    </rPh>
    <phoneticPr fontId="2"/>
  </si>
  <si>
    <t>部　分　名</t>
    <rPh sb="0" eb="3">
      <t>ブブン</t>
    </rPh>
    <rPh sb="4" eb="5">
      <t>メイ</t>
    </rPh>
    <phoneticPr fontId="2"/>
  </si>
  <si>
    <t>一般部</t>
    <rPh sb="0" eb="2">
      <t>イッパン</t>
    </rPh>
    <rPh sb="2" eb="3">
      <t>ブ</t>
    </rPh>
    <phoneticPr fontId="2"/>
  </si>
  <si>
    <t>熱橋部</t>
    <rPh sb="0" eb="1">
      <t>ネツ</t>
    </rPh>
    <rPh sb="1" eb="2">
      <t>キョウ</t>
    </rPh>
    <rPh sb="2" eb="3">
      <t>ブ</t>
    </rPh>
    <phoneticPr fontId="2"/>
  </si>
  <si>
    <t>熱橋面積比</t>
    <rPh sb="0" eb="1">
      <t>ネツ</t>
    </rPh>
    <rPh sb="1" eb="2">
      <t>キョウ</t>
    </rPh>
    <rPh sb="2" eb="4">
      <t>メンセキ</t>
    </rPh>
    <rPh sb="4" eb="5">
      <t>ヒ</t>
    </rPh>
    <phoneticPr fontId="2"/>
  </si>
  <si>
    <r>
      <t>内訳計算シートＣ　　</t>
    </r>
    <r>
      <rPr>
        <b/>
        <sz val="14"/>
        <rFont val="HG丸ｺﾞｼｯｸM-PRO"/>
        <family val="3"/>
        <charset val="128"/>
      </rPr>
      <t>＜基礎等＞</t>
    </r>
    <r>
      <rPr>
        <sz val="12"/>
        <rFont val="HG丸ｺﾞｼｯｸM-PRO"/>
        <family val="3"/>
        <charset val="128"/>
      </rPr>
      <t xml:space="preserve"> の熱損失量（基礎断熱及び土間床等の部分）</t>
    </r>
    <rPh sb="0" eb="2">
      <t>ウチワケ</t>
    </rPh>
    <rPh sb="2" eb="4">
      <t>ケイサン</t>
    </rPh>
    <rPh sb="11" eb="14">
      <t>キソトウ</t>
    </rPh>
    <rPh sb="17" eb="18">
      <t>ネツ</t>
    </rPh>
    <rPh sb="18" eb="20">
      <t>ソンシツ</t>
    </rPh>
    <rPh sb="20" eb="21">
      <t>リョウ</t>
    </rPh>
    <rPh sb="22" eb="24">
      <t>キソ</t>
    </rPh>
    <rPh sb="24" eb="26">
      <t>ダンネツ</t>
    </rPh>
    <rPh sb="26" eb="27">
      <t>オヨ</t>
    </rPh>
    <rPh sb="28" eb="30">
      <t>ドマ</t>
    </rPh>
    <rPh sb="30" eb="31">
      <t>ユカ</t>
    </rPh>
    <rPh sb="31" eb="32">
      <t>トウ</t>
    </rPh>
    <rPh sb="33" eb="35">
      <t>ブブン</t>
    </rPh>
    <phoneticPr fontId="2"/>
  </si>
  <si>
    <t>外壁
面積</t>
    <rPh sb="0" eb="2">
      <t>ガイヘキ</t>
    </rPh>
    <rPh sb="3" eb="5">
      <t>メンセキ</t>
    </rPh>
    <phoneticPr fontId="2"/>
  </si>
  <si>
    <t>計算対象
外壁面積</t>
    <rPh sb="0" eb="2">
      <t>ケイサン</t>
    </rPh>
    <rPh sb="2" eb="4">
      <t>タイショウ</t>
    </rPh>
    <rPh sb="5" eb="7">
      <t>ガイヘキ</t>
    </rPh>
    <rPh sb="7" eb="9">
      <t>メンセキ</t>
    </rPh>
    <phoneticPr fontId="2"/>
  </si>
  <si>
    <t>1）天窓等の入力</t>
    <rPh sb="2" eb="3">
      <t>テン</t>
    </rPh>
    <rPh sb="3" eb="4">
      <t>マド</t>
    </rPh>
    <rPh sb="4" eb="5">
      <t>トウ</t>
    </rPh>
    <rPh sb="6" eb="8">
      <t>ニュウリョク</t>
    </rPh>
    <phoneticPr fontId="2"/>
  </si>
  <si>
    <t>　外皮等面積（内訳）</t>
    <rPh sb="1" eb="3">
      <t>ガイヒ</t>
    </rPh>
    <rPh sb="3" eb="4">
      <t>トウ</t>
    </rPh>
    <rPh sb="4" eb="6">
      <t>メンセキ</t>
    </rPh>
    <rPh sb="7" eb="9">
      <t>ウチワケ</t>
    </rPh>
    <phoneticPr fontId="2"/>
  </si>
  <si>
    <r>
      <t>内訳計算シートＢ　　</t>
    </r>
    <r>
      <rPr>
        <b/>
        <sz val="14"/>
        <rFont val="HG丸ｺﾞｼｯｸM-PRO"/>
        <family val="3"/>
        <charset val="128"/>
      </rPr>
      <t>＜屋根・天井・床等＞</t>
    </r>
    <r>
      <rPr>
        <sz val="12"/>
        <rFont val="HG丸ｺﾞｼｯｸM-PRO"/>
        <family val="3"/>
        <charset val="128"/>
      </rPr>
      <t xml:space="preserve"> の外皮熱損失量と日射熱取得量</t>
    </r>
    <rPh sb="0" eb="2">
      <t>ウチワケ</t>
    </rPh>
    <rPh sb="2" eb="4">
      <t>ケイサン</t>
    </rPh>
    <rPh sb="17" eb="18">
      <t>ユカ</t>
    </rPh>
    <rPh sb="18" eb="19">
      <t>トウ</t>
    </rPh>
    <rPh sb="29" eb="31">
      <t>ニッシャ</t>
    </rPh>
    <rPh sb="31" eb="32">
      <t>ネツ</t>
    </rPh>
    <rPh sb="32" eb="34">
      <t>シュトク</t>
    </rPh>
    <rPh sb="34" eb="35">
      <t>リョウ</t>
    </rPh>
    <phoneticPr fontId="2"/>
  </si>
  <si>
    <t>2）屋根・天井・外気等に接する床（以下「屋根等」という。）の入力</t>
    <rPh sb="2" eb="4">
      <t>ヤネ</t>
    </rPh>
    <rPh sb="5" eb="7">
      <t>テンジョウ</t>
    </rPh>
    <rPh sb="8" eb="11">
      <t>ガイキトウ</t>
    </rPh>
    <rPh sb="17" eb="19">
      <t>イカ</t>
    </rPh>
    <rPh sb="20" eb="23">
      <t>ヤネトウ</t>
    </rPh>
    <rPh sb="30" eb="32">
      <t>ニュウリョク</t>
    </rPh>
    <phoneticPr fontId="2"/>
  </si>
  <si>
    <t>屋根等
面積</t>
    <rPh sb="0" eb="2">
      <t>ヤネ</t>
    </rPh>
    <rPh sb="2" eb="3">
      <t>トウ</t>
    </rPh>
    <rPh sb="4" eb="6">
      <t>メンセキ</t>
    </rPh>
    <phoneticPr fontId="2"/>
  </si>
  <si>
    <t>面積</t>
    <rPh sb="0" eb="2">
      <t>メンセキ</t>
    </rPh>
    <phoneticPr fontId="2"/>
  </si>
  <si>
    <t>屋根等他</t>
    <rPh sb="2" eb="3">
      <t>トウ</t>
    </rPh>
    <rPh sb="3" eb="4">
      <t>ホカ</t>
    </rPh>
    <phoneticPr fontId="2"/>
  </si>
  <si>
    <t>天窓</t>
    <rPh sb="0" eb="1">
      <t>テン</t>
    </rPh>
    <rPh sb="1" eb="2">
      <t>マド</t>
    </rPh>
    <phoneticPr fontId="2"/>
  </si>
  <si>
    <r>
      <t>部位U値計算シート　　</t>
    </r>
    <r>
      <rPr>
        <b/>
        <sz val="14"/>
        <rFont val="HG丸ｺﾞｼｯｸM-PRO"/>
        <family val="3"/>
        <charset val="128"/>
      </rPr>
      <t>＜部位＞</t>
    </r>
    <r>
      <rPr>
        <sz val="12"/>
        <rFont val="HG丸ｺﾞｼｯｸM-PRO"/>
        <family val="3"/>
        <charset val="128"/>
      </rPr>
      <t xml:space="preserve"> の熱貫流率</t>
    </r>
    <rPh sb="0" eb="2">
      <t>ブイ</t>
    </rPh>
    <rPh sb="3" eb="4">
      <t>アタイ</t>
    </rPh>
    <rPh sb="4" eb="6">
      <t>ケイサン</t>
    </rPh>
    <rPh sb="12" eb="14">
      <t>ブイ</t>
    </rPh>
    <rPh sb="17" eb="18">
      <t>ネツ</t>
    </rPh>
    <rPh sb="18" eb="20">
      <t>カンリュウ</t>
    </rPh>
    <rPh sb="20" eb="21">
      <t>リツ</t>
    </rPh>
    <phoneticPr fontId="2"/>
  </si>
  <si>
    <r>
      <t>熱貫流抵抗　　ΣＲ＝Σ（ｄ</t>
    </r>
    <r>
      <rPr>
        <sz val="8"/>
        <rFont val="HG丸ｺﾞｼｯｸM-PRO"/>
        <family val="3"/>
        <charset val="128"/>
      </rPr>
      <t>ｉ</t>
    </r>
    <r>
      <rPr>
        <sz val="10"/>
        <rFont val="HG丸ｺﾞｼｯｸM-PRO"/>
        <family val="3"/>
        <charset val="128"/>
      </rPr>
      <t>/λ</t>
    </r>
    <r>
      <rPr>
        <sz val="8"/>
        <rFont val="HG丸ｺﾞｼｯｸM-PRO"/>
        <family val="3"/>
        <charset val="128"/>
      </rPr>
      <t>ｉ</t>
    </r>
    <r>
      <rPr>
        <sz val="10"/>
        <rFont val="HG丸ｺﾞｼｯｸM-PRO"/>
        <family val="3"/>
        <charset val="128"/>
      </rPr>
      <t>）</t>
    </r>
    <rPh sb="0" eb="1">
      <t>ネツ</t>
    </rPh>
    <rPh sb="1" eb="3">
      <t>カンリュウ</t>
    </rPh>
    <rPh sb="3" eb="5">
      <t>テイコウ</t>
    </rPh>
    <phoneticPr fontId="2"/>
  </si>
  <si>
    <r>
      <t>熱貫流率　　　Ｕ</t>
    </r>
    <r>
      <rPr>
        <sz val="8"/>
        <rFont val="HG丸ｺﾞｼｯｸM-PRO"/>
        <family val="3"/>
        <charset val="128"/>
      </rPr>
      <t>ｎ</t>
    </r>
    <r>
      <rPr>
        <sz val="10"/>
        <rFont val="HG丸ｺﾞｼｯｸM-PRO"/>
        <family val="3"/>
        <charset val="128"/>
      </rPr>
      <t>＝１/ΣＲ</t>
    </r>
    <rPh sb="0" eb="1">
      <t>ネツ</t>
    </rPh>
    <rPh sb="1" eb="3">
      <t>カンリュウ</t>
    </rPh>
    <rPh sb="3" eb="4">
      <t>リツ</t>
    </rPh>
    <phoneticPr fontId="2"/>
  </si>
  <si>
    <r>
      <t>平均熱貫流率　Ｕ</t>
    </r>
    <r>
      <rPr>
        <sz val="8"/>
        <rFont val="HG丸ｺﾞｼｯｸM-PRO"/>
        <family val="3"/>
        <charset val="128"/>
      </rPr>
      <t>i</t>
    </r>
    <r>
      <rPr>
        <sz val="10"/>
        <rFont val="HG丸ｺﾞｼｯｸM-PRO"/>
        <family val="3"/>
        <charset val="128"/>
      </rPr>
      <t>＝Σ（</t>
    </r>
    <r>
      <rPr>
        <sz val="12"/>
        <rFont val="HG丸ｺﾞｼｯｸM-PRO"/>
        <family val="3"/>
        <charset val="128"/>
      </rPr>
      <t>ａ</t>
    </r>
    <r>
      <rPr>
        <sz val="10"/>
        <rFont val="HG丸ｺﾞｼｯｸM-PRO"/>
        <family val="3"/>
        <charset val="128"/>
      </rPr>
      <t>in・</t>
    </r>
    <r>
      <rPr>
        <sz val="8"/>
        <rFont val="HG丸ｺﾞｼｯｸM-PRO"/>
        <family val="3"/>
        <charset val="128"/>
      </rPr>
      <t>Ｕｎ</t>
    </r>
    <r>
      <rPr>
        <sz val="10"/>
        <rFont val="HG丸ｺﾞｼｯｸM-PRO"/>
        <family val="3"/>
        <charset val="128"/>
      </rPr>
      <t>）　</t>
    </r>
    <rPh sb="0" eb="2">
      <t>ヘイキン</t>
    </rPh>
    <rPh sb="2" eb="3">
      <t>ネツ</t>
    </rPh>
    <rPh sb="3" eb="5">
      <t>カンリュウ</t>
    </rPh>
    <rPh sb="5" eb="6">
      <t>リツ</t>
    </rPh>
    <phoneticPr fontId="2"/>
  </si>
  <si>
    <t>熱貫流率</t>
    <phoneticPr fontId="2"/>
  </si>
  <si>
    <t>熱貫流抵抗</t>
    <rPh sb="0" eb="1">
      <t>ネツ</t>
    </rPh>
    <rPh sb="1" eb="3">
      <t>カンリュウ</t>
    </rPh>
    <rPh sb="3" eb="5">
      <t>テイコウ</t>
    </rPh>
    <phoneticPr fontId="2"/>
  </si>
  <si>
    <t>）の熱貫流率　Ｗ/（㎡Ｋ）</t>
  </si>
  <si>
    <t>（</t>
    <phoneticPr fontId="2"/>
  </si>
  <si>
    <t>　　Ｕi＝Ｕｎ+</t>
    <phoneticPr fontId="2"/>
  </si>
  <si>
    <t>　　ΣＲ＝Σ（ｄｉ/λｉ）</t>
    <phoneticPr fontId="2"/>
  </si>
  <si>
    <t>）の実質熱貫流率　Ｗ/（㎡Ｋ）</t>
    <phoneticPr fontId="2"/>
  </si>
  <si>
    <t>土間床等面積合計</t>
    <rPh sb="0" eb="2">
      <t>ドマ</t>
    </rPh>
    <rPh sb="2" eb="3">
      <t>ユカ</t>
    </rPh>
    <rPh sb="3" eb="4">
      <t>トウ</t>
    </rPh>
    <rPh sb="4" eb="6">
      <t>メンセキ</t>
    </rPh>
    <rPh sb="6" eb="8">
      <t>ゴウケイ</t>
    </rPh>
    <phoneticPr fontId="2"/>
  </si>
  <si>
    <t>部位
名称</t>
    <rPh sb="0" eb="2">
      <t>ブイ</t>
    </rPh>
    <rPh sb="3" eb="5">
      <t>メイショウ</t>
    </rPh>
    <phoneticPr fontId="2"/>
  </si>
  <si>
    <t>　</t>
  </si>
  <si>
    <t>冷房期
日射熱
取得量</t>
    <rPh sb="0" eb="2">
      <t>レイボウ</t>
    </rPh>
    <rPh sb="2" eb="3">
      <t>キ</t>
    </rPh>
    <rPh sb="4" eb="6">
      <t>ニッシャ</t>
    </rPh>
    <rPh sb="6" eb="7">
      <t>ネツ</t>
    </rPh>
    <rPh sb="8" eb="10">
      <t>シュトク</t>
    </rPh>
    <rPh sb="10" eb="11">
      <t>リョウ</t>
    </rPh>
    <phoneticPr fontId="2"/>
  </si>
  <si>
    <t>暖房期
日射熱
取得量</t>
    <rPh sb="0" eb="2">
      <t>ダンボウ</t>
    </rPh>
    <rPh sb="2" eb="3">
      <t>キ</t>
    </rPh>
    <phoneticPr fontId="2"/>
  </si>
  <si>
    <t>冷房期
日射熱
取得量</t>
    <rPh sb="0" eb="2">
      <t>レイボウ</t>
    </rPh>
    <rPh sb="2" eb="3">
      <t>キ</t>
    </rPh>
    <phoneticPr fontId="2"/>
  </si>
  <si>
    <t>ﾃﾞﾌｫﾙﾄ
値使用</t>
    <rPh sb="7" eb="8">
      <t>アタイ</t>
    </rPh>
    <rPh sb="8" eb="10">
      <t>シヨウ</t>
    </rPh>
    <phoneticPr fontId="2"/>
  </si>
  <si>
    <t>庇による補正計算</t>
    <rPh sb="0" eb="1">
      <t>ヒサシ</t>
    </rPh>
    <rPh sb="4" eb="6">
      <t>ホセイ</t>
    </rPh>
    <rPh sb="6" eb="8">
      <t>ケイサン</t>
    </rPh>
    <phoneticPr fontId="2"/>
  </si>
  <si>
    <t>取得日射量補正係数の算出</t>
    <rPh sb="0" eb="2">
      <t>シュトク</t>
    </rPh>
    <rPh sb="2" eb="4">
      <t>ニッシャ</t>
    </rPh>
    <rPh sb="4" eb="5">
      <t>リョウ</t>
    </rPh>
    <rPh sb="5" eb="7">
      <t>ホセイ</t>
    </rPh>
    <rPh sb="7" eb="9">
      <t>ケイスウ</t>
    </rPh>
    <rPh sb="10" eb="12">
      <t>サンシュツ</t>
    </rPh>
    <phoneticPr fontId="2"/>
  </si>
  <si>
    <t>　冷房期総日射熱取得量</t>
    <rPh sb="1" eb="3">
      <t>レイボウ</t>
    </rPh>
    <rPh sb="3" eb="4">
      <t>キ</t>
    </rPh>
    <rPh sb="4" eb="5">
      <t>ソウ</t>
    </rPh>
    <rPh sb="5" eb="7">
      <t>ニッシャ</t>
    </rPh>
    <rPh sb="7" eb="8">
      <t>ネツ</t>
    </rPh>
    <rPh sb="8" eb="10">
      <t>シュトク</t>
    </rPh>
    <rPh sb="10" eb="11">
      <t>リョウ</t>
    </rPh>
    <phoneticPr fontId="2"/>
  </si>
  <si>
    <t>　暖房期総日射熱取得量</t>
    <rPh sb="1" eb="3">
      <t>ダンボウ</t>
    </rPh>
    <rPh sb="3" eb="4">
      <t>キ</t>
    </rPh>
    <rPh sb="4" eb="5">
      <t>ソウ</t>
    </rPh>
    <rPh sb="5" eb="7">
      <t>ニッシャ</t>
    </rPh>
    <rPh sb="7" eb="8">
      <t>ネツ</t>
    </rPh>
    <rPh sb="8" eb="10">
      <t>シュトク</t>
    </rPh>
    <rPh sb="10" eb="11">
      <t>リョウ</t>
    </rPh>
    <phoneticPr fontId="2"/>
  </si>
  <si>
    <t>日射熱取得量</t>
    <rPh sb="0" eb="2">
      <t>ニッシャ</t>
    </rPh>
    <rPh sb="2" eb="3">
      <t>ネツ</t>
    </rPh>
    <rPh sb="3" eb="5">
      <t>シュトク</t>
    </rPh>
    <rPh sb="5" eb="6">
      <t>リョウ</t>
    </rPh>
    <phoneticPr fontId="2"/>
  </si>
  <si>
    <t>取得日射量補正係数(FALSEの場合)</t>
    <rPh sb="0" eb="2">
      <t>シュトク</t>
    </rPh>
    <rPh sb="2" eb="4">
      <t>ニッシャ</t>
    </rPh>
    <rPh sb="4" eb="5">
      <t>リョウ</t>
    </rPh>
    <rPh sb="5" eb="7">
      <t>ホセイ</t>
    </rPh>
    <rPh sb="7" eb="9">
      <t>ケイスウ</t>
    </rPh>
    <rPh sb="16" eb="18">
      <t>バアイ</t>
    </rPh>
    <phoneticPr fontId="2"/>
  </si>
  <si>
    <r>
      <t>内訳計算シートＡ　　</t>
    </r>
    <r>
      <rPr>
        <b/>
        <sz val="14"/>
        <rFont val="HG丸ｺﾞｼｯｸM-PRO"/>
        <family val="3"/>
        <charset val="128"/>
      </rPr>
      <t>＜北面＞</t>
    </r>
    <r>
      <rPr>
        <b/>
        <sz val="12"/>
        <rFont val="HG丸ｺﾞｼｯｸM-PRO"/>
        <family val="3"/>
        <charset val="128"/>
      </rPr>
      <t xml:space="preserve"> </t>
    </r>
    <r>
      <rPr>
        <sz val="12"/>
        <rFont val="HG丸ｺﾞｼｯｸM-PRO"/>
        <family val="3"/>
        <charset val="128"/>
      </rPr>
      <t>の外皮熱損失量と日射熱取得量</t>
    </r>
    <rPh sb="0" eb="2">
      <t>ウチワケ</t>
    </rPh>
    <rPh sb="2" eb="4">
      <t>ケイサン</t>
    </rPh>
    <rPh sb="11" eb="12">
      <t>キタ</t>
    </rPh>
    <rPh sb="12" eb="13">
      <t>メン</t>
    </rPh>
    <rPh sb="23" eb="25">
      <t>ニッシャ</t>
    </rPh>
    <rPh sb="25" eb="26">
      <t>ネツ</t>
    </rPh>
    <rPh sb="26" eb="28">
      <t>シュトク</t>
    </rPh>
    <rPh sb="28" eb="29">
      <t>リョウ</t>
    </rPh>
    <phoneticPr fontId="2"/>
  </si>
  <si>
    <r>
      <t xml:space="preserve">窓 </t>
    </r>
    <r>
      <rPr>
        <b/>
        <sz val="11"/>
        <rFont val="HG丸ｺﾞｼｯｸM-PRO"/>
        <family val="3"/>
        <charset val="128"/>
      </rPr>
      <t>＜北面＞</t>
    </r>
    <r>
      <rPr>
        <sz val="11"/>
        <rFont val="HG丸ｺﾞｼｯｸM-PRO"/>
        <family val="3"/>
        <charset val="128"/>
      </rPr>
      <t xml:space="preserve"> 各値合計</t>
    </r>
    <rPh sb="0" eb="1">
      <t>マド</t>
    </rPh>
    <rPh sb="3" eb="4">
      <t>キタ</t>
    </rPh>
    <rPh sb="4" eb="5">
      <t>メン</t>
    </rPh>
    <rPh sb="7" eb="8">
      <t>カク</t>
    </rPh>
    <rPh sb="8" eb="9">
      <t>アタイ</t>
    </rPh>
    <rPh sb="9" eb="11">
      <t>ゴウケイ</t>
    </rPh>
    <phoneticPr fontId="2"/>
  </si>
  <si>
    <r>
      <t xml:space="preserve">外壁 </t>
    </r>
    <r>
      <rPr>
        <b/>
        <sz val="11"/>
        <rFont val="HG丸ｺﾞｼｯｸM-PRO"/>
        <family val="3"/>
        <charset val="128"/>
      </rPr>
      <t>＜北面＞</t>
    </r>
    <r>
      <rPr>
        <sz val="11"/>
        <rFont val="HG丸ｺﾞｼｯｸM-PRO"/>
        <family val="3"/>
        <charset val="128"/>
      </rPr>
      <t xml:space="preserve"> 各値合計</t>
    </r>
    <rPh sb="0" eb="2">
      <t>ガイヘキ</t>
    </rPh>
    <rPh sb="4" eb="5">
      <t>キタ</t>
    </rPh>
    <phoneticPr fontId="2"/>
  </si>
  <si>
    <t>北面</t>
    <rPh sb="0" eb="1">
      <t>キタ</t>
    </rPh>
    <rPh sb="1" eb="2">
      <t>メン</t>
    </rPh>
    <phoneticPr fontId="2"/>
  </si>
  <si>
    <t>H1≦0.4</t>
    <phoneticPr fontId="2"/>
  </si>
  <si>
    <t>W≦0.9</t>
    <phoneticPr fontId="2"/>
  </si>
  <si>
    <t>　注５：各シートの</t>
    <rPh sb="1" eb="2">
      <t>チュウ</t>
    </rPh>
    <rPh sb="4" eb="5">
      <t>カク</t>
    </rPh>
    <phoneticPr fontId="2"/>
  </si>
  <si>
    <t xml:space="preserve"> 部分に入力するか、あるいはドロップボックスから選択してください。</t>
    <rPh sb="1" eb="3">
      <t>ブブン</t>
    </rPh>
    <rPh sb="4" eb="6">
      <t>ニュウリョク</t>
    </rPh>
    <rPh sb="24" eb="26">
      <t>センタク</t>
    </rPh>
    <phoneticPr fontId="2"/>
  </si>
  <si>
    <t>黄色</t>
    <rPh sb="0" eb="2">
      <t>キイロ</t>
    </rPh>
    <phoneticPr fontId="2"/>
  </si>
  <si>
    <t>⊿R</t>
  </si>
  <si>
    <t>⊿R</t>
    <phoneticPr fontId="2"/>
  </si>
  <si>
    <t>Ui</t>
  </si>
  <si>
    <t>Ui</t>
    <phoneticPr fontId="2"/>
  </si>
  <si>
    <t>補正熱貫流率</t>
  </si>
  <si>
    <t>補正熱貫流率</t>
    <rPh sb="0" eb="2">
      <t>ホセイ</t>
    </rPh>
    <rPh sb="2" eb="3">
      <t>ネツ</t>
    </rPh>
    <rPh sb="3" eb="5">
      <t>カンリュウ</t>
    </rPh>
    <rPh sb="5" eb="6">
      <t>リツ</t>
    </rPh>
    <phoneticPr fontId="2"/>
  </si>
  <si>
    <t>基礎等熱損失合計</t>
    <rPh sb="0" eb="2">
      <t>キソ</t>
    </rPh>
    <rPh sb="2" eb="3">
      <t>トウ</t>
    </rPh>
    <rPh sb="3" eb="4">
      <t>ネツ</t>
    </rPh>
    <rPh sb="4" eb="6">
      <t>ソンシツ</t>
    </rPh>
    <rPh sb="6" eb="8">
      <t>ゴウケイ</t>
    </rPh>
    <phoneticPr fontId="2"/>
  </si>
  <si>
    <t>　　　　よって各社の仕様に応じ内容を修正することは制限しませんが、計算過程を追えるよう修正することをお願いします。</t>
    <rPh sb="7" eb="9">
      <t>カクシャ</t>
    </rPh>
    <rPh sb="10" eb="12">
      <t>シヨウ</t>
    </rPh>
    <rPh sb="13" eb="14">
      <t>オウ</t>
    </rPh>
    <rPh sb="15" eb="17">
      <t>ナイヨウ</t>
    </rPh>
    <rPh sb="18" eb="20">
      <t>シュウセイ</t>
    </rPh>
    <rPh sb="25" eb="27">
      <t>セイゲン</t>
    </rPh>
    <rPh sb="33" eb="35">
      <t>ケイサン</t>
    </rPh>
    <rPh sb="35" eb="37">
      <t>カテイ</t>
    </rPh>
    <rPh sb="38" eb="39">
      <t>オ</t>
    </rPh>
    <rPh sb="43" eb="45">
      <t>シュウセイ</t>
    </rPh>
    <rPh sb="51" eb="52">
      <t>ネガ</t>
    </rPh>
    <phoneticPr fontId="2"/>
  </si>
  <si>
    <t>寸法（ｍ）</t>
    <rPh sb="0" eb="2">
      <t>スンポウ</t>
    </rPh>
    <phoneticPr fontId="2"/>
  </si>
  <si>
    <t>温度差係数</t>
    <rPh sb="0" eb="3">
      <t>オンドサ</t>
    </rPh>
    <rPh sb="3" eb="5">
      <t>ケイスウ</t>
    </rPh>
    <phoneticPr fontId="2"/>
  </si>
  <si>
    <t>　注７：本計算シートでは計算式の誤削除を防止するため、シートを保護していますがパスワードの設定はしておりません。</t>
    <rPh sb="1" eb="2">
      <t>チュウ</t>
    </rPh>
    <rPh sb="4" eb="5">
      <t>ホン</t>
    </rPh>
    <rPh sb="5" eb="7">
      <t>ケイサン</t>
    </rPh>
    <rPh sb="12" eb="14">
      <t>ケイサン</t>
    </rPh>
    <rPh sb="14" eb="15">
      <t>シキ</t>
    </rPh>
    <rPh sb="16" eb="17">
      <t>ゴ</t>
    </rPh>
    <rPh sb="17" eb="19">
      <t>サクジョ</t>
    </rPh>
    <rPh sb="20" eb="22">
      <t>ボウシ</t>
    </rPh>
    <rPh sb="31" eb="33">
      <t>ホゴ</t>
    </rPh>
    <rPh sb="45" eb="47">
      <t>セッテイ</t>
    </rPh>
    <phoneticPr fontId="2"/>
  </si>
  <si>
    <t>　注６：各シートに入力する寸法は、メートル単位で入力して下さい。</t>
    <rPh sb="1" eb="2">
      <t>チュウ</t>
    </rPh>
    <rPh sb="4" eb="5">
      <t>カク</t>
    </rPh>
    <rPh sb="9" eb="11">
      <t>ニュウリョク</t>
    </rPh>
    <rPh sb="13" eb="15">
      <t>スンポウ</t>
    </rPh>
    <rPh sb="21" eb="23">
      <t>タンイ</t>
    </rPh>
    <rPh sb="24" eb="26">
      <t>ニュウリョク</t>
    </rPh>
    <rPh sb="28" eb="29">
      <t>クダ</t>
    </rPh>
    <phoneticPr fontId="2"/>
  </si>
  <si>
    <t>　　上表は分けて入力して下さい。その際、面積は重複しないように片方のみを入力して下さい。</t>
    <rPh sb="2" eb="3">
      <t>ジョウ</t>
    </rPh>
    <rPh sb="3" eb="4">
      <t>ヒョウ</t>
    </rPh>
    <rPh sb="5" eb="6">
      <t>ワ</t>
    </rPh>
    <rPh sb="8" eb="9">
      <t>ニュウ</t>
    </rPh>
    <rPh sb="9" eb="10">
      <t>リョク</t>
    </rPh>
    <rPh sb="12" eb="13">
      <t>クダ</t>
    </rPh>
    <phoneticPr fontId="2"/>
  </si>
  <si>
    <t>外皮性能基準値</t>
    <rPh sb="0" eb="2">
      <t>ガイヒ</t>
    </rPh>
    <rPh sb="2" eb="4">
      <t>セイノウ</t>
    </rPh>
    <rPh sb="4" eb="7">
      <t>キジュンチ</t>
    </rPh>
    <phoneticPr fontId="2"/>
  </si>
  <si>
    <t>3）省エネルギー基準外皮性能適合可否結果</t>
    <phoneticPr fontId="2"/>
  </si>
  <si>
    <t>計算結果</t>
  </si>
  <si>
    <t>基準値</t>
  </si>
  <si>
    <t>判定</t>
  </si>
  <si>
    <t>ｄ/λ
㎡・Ｋ/Ｗ</t>
    <phoneticPr fontId="2"/>
  </si>
  <si>
    <t>　　Ｕｎ＝１/ΣＲ</t>
    <phoneticPr fontId="2"/>
  </si>
  <si>
    <t>－</t>
    <phoneticPr fontId="2"/>
  </si>
  <si>
    <t>層構成に応じ、計算値を使用するか「0」を入力してください。</t>
    <rPh sb="0" eb="3">
      <t>ソウコウセイ</t>
    </rPh>
    <rPh sb="4" eb="5">
      <t>オウ</t>
    </rPh>
    <rPh sb="7" eb="10">
      <t>ケイサンチ</t>
    </rPh>
    <rPh sb="11" eb="13">
      <t>シヨウ</t>
    </rPh>
    <rPh sb="20" eb="22">
      <t>ニュウリョク</t>
    </rPh>
    <phoneticPr fontId="2"/>
  </si>
  <si>
    <t>日射熱
取得率
※1</t>
    <rPh sb="0" eb="2">
      <t>ニッシャ</t>
    </rPh>
    <rPh sb="2" eb="3">
      <t>ネツ</t>
    </rPh>
    <rPh sb="4" eb="6">
      <t>シュトク</t>
    </rPh>
    <rPh sb="6" eb="7">
      <t>リツ</t>
    </rPh>
    <phoneticPr fontId="2"/>
  </si>
  <si>
    <t>更新履歴</t>
    <rPh sb="0" eb="4">
      <t>コウシンリレキ</t>
    </rPh>
    <phoneticPr fontId="2"/>
  </si>
  <si>
    <t>更新内容</t>
    <rPh sb="0" eb="2">
      <t>コウシン</t>
    </rPh>
    <rPh sb="2" eb="4">
      <t>ナイヨウ</t>
    </rPh>
    <phoneticPr fontId="2"/>
  </si>
  <si>
    <t>北東面</t>
    <rPh sb="2" eb="3">
      <t>メン</t>
    </rPh>
    <phoneticPr fontId="2"/>
  </si>
  <si>
    <t>東面</t>
    <rPh sb="1" eb="2">
      <t>メン</t>
    </rPh>
    <phoneticPr fontId="2"/>
  </si>
  <si>
    <t>南東面</t>
    <rPh sb="2" eb="3">
      <t>メン</t>
    </rPh>
    <phoneticPr fontId="2"/>
  </si>
  <si>
    <t>南面</t>
    <rPh sb="1" eb="2">
      <t>メン</t>
    </rPh>
    <phoneticPr fontId="2"/>
  </si>
  <si>
    <t>南西面</t>
    <rPh sb="2" eb="3">
      <t>メン</t>
    </rPh>
    <phoneticPr fontId="2"/>
  </si>
  <si>
    <t>西面</t>
    <rPh sb="1" eb="2">
      <t>メン</t>
    </rPh>
    <phoneticPr fontId="2"/>
  </si>
  <si>
    <t>北西面</t>
    <rPh sb="2" eb="3">
      <t>メン</t>
    </rPh>
    <phoneticPr fontId="2"/>
  </si>
  <si>
    <r>
      <t>内訳計算シートＡ　　</t>
    </r>
    <r>
      <rPr>
        <b/>
        <sz val="12"/>
        <rFont val="HG丸ｺﾞｼｯｸM-PRO"/>
        <family val="3"/>
        <charset val="128"/>
      </rPr>
      <t>＜北東面＞</t>
    </r>
    <r>
      <rPr>
        <sz val="12"/>
        <rFont val="HG丸ｺﾞｼｯｸM-PRO"/>
        <family val="3"/>
        <charset val="128"/>
      </rPr>
      <t xml:space="preserve"> の外皮熱損失量と日射熱取得量</t>
    </r>
    <rPh sb="0" eb="2">
      <t>ウチワケ</t>
    </rPh>
    <rPh sb="2" eb="4">
      <t>ケイサン</t>
    </rPh>
    <rPh sb="13" eb="14">
      <t>メン</t>
    </rPh>
    <rPh sb="24" eb="26">
      <t>ニッシャ</t>
    </rPh>
    <rPh sb="26" eb="27">
      <t>ネツ</t>
    </rPh>
    <rPh sb="27" eb="29">
      <t>シュトク</t>
    </rPh>
    <rPh sb="29" eb="30">
      <t>リョウ</t>
    </rPh>
    <phoneticPr fontId="2"/>
  </si>
  <si>
    <r>
      <t>内訳計算シートＡ　　</t>
    </r>
    <r>
      <rPr>
        <b/>
        <sz val="12"/>
        <rFont val="HG丸ｺﾞｼｯｸM-PRO"/>
        <family val="3"/>
        <charset val="128"/>
      </rPr>
      <t>＜東面＞</t>
    </r>
    <r>
      <rPr>
        <sz val="12"/>
        <rFont val="HG丸ｺﾞｼｯｸM-PRO"/>
        <family val="3"/>
        <charset val="128"/>
      </rPr>
      <t xml:space="preserve"> の外皮熱損失量と日射熱取得量</t>
    </r>
    <rPh sb="0" eb="2">
      <t>ウチワケ</t>
    </rPh>
    <rPh sb="2" eb="4">
      <t>ケイサン</t>
    </rPh>
    <rPh sb="12" eb="13">
      <t>メン</t>
    </rPh>
    <rPh sb="23" eb="25">
      <t>ニッシャ</t>
    </rPh>
    <rPh sb="25" eb="26">
      <t>ネツ</t>
    </rPh>
    <rPh sb="26" eb="28">
      <t>シュトク</t>
    </rPh>
    <rPh sb="28" eb="29">
      <t>リョウ</t>
    </rPh>
    <phoneticPr fontId="2"/>
  </si>
  <si>
    <r>
      <t>内訳計算シートＡ　　</t>
    </r>
    <r>
      <rPr>
        <b/>
        <sz val="12"/>
        <rFont val="HG丸ｺﾞｼｯｸM-PRO"/>
        <family val="3"/>
        <charset val="128"/>
      </rPr>
      <t>＜南東面＞</t>
    </r>
    <r>
      <rPr>
        <sz val="12"/>
        <rFont val="HG丸ｺﾞｼｯｸM-PRO"/>
        <family val="3"/>
        <charset val="128"/>
      </rPr>
      <t xml:space="preserve"> の外皮熱損失量と日射熱取得量</t>
    </r>
    <rPh sb="0" eb="2">
      <t>ウチワケ</t>
    </rPh>
    <rPh sb="2" eb="4">
      <t>ケイサン</t>
    </rPh>
    <rPh sb="13" eb="14">
      <t>メン</t>
    </rPh>
    <rPh sb="24" eb="26">
      <t>ニッシャ</t>
    </rPh>
    <rPh sb="26" eb="27">
      <t>ネツ</t>
    </rPh>
    <rPh sb="27" eb="29">
      <t>シュトク</t>
    </rPh>
    <rPh sb="29" eb="30">
      <t>リョウ</t>
    </rPh>
    <phoneticPr fontId="2"/>
  </si>
  <si>
    <r>
      <t>内訳計算シートＡ　　</t>
    </r>
    <r>
      <rPr>
        <b/>
        <sz val="12"/>
        <rFont val="HG丸ｺﾞｼｯｸM-PRO"/>
        <family val="3"/>
        <charset val="128"/>
      </rPr>
      <t>＜南面＞</t>
    </r>
    <r>
      <rPr>
        <sz val="12"/>
        <rFont val="HG丸ｺﾞｼｯｸM-PRO"/>
        <family val="3"/>
        <charset val="128"/>
      </rPr>
      <t xml:space="preserve"> の外皮熱損失量と日射熱取得量</t>
    </r>
    <rPh sb="0" eb="2">
      <t>ウチワケ</t>
    </rPh>
    <rPh sb="2" eb="4">
      <t>ケイサン</t>
    </rPh>
    <rPh sb="12" eb="13">
      <t>メン</t>
    </rPh>
    <rPh sb="23" eb="25">
      <t>ニッシャ</t>
    </rPh>
    <rPh sb="25" eb="26">
      <t>ネツ</t>
    </rPh>
    <rPh sb="26" eb="28">
      <t>シュトク</t>
    </rPh>
    <rPh sb="28" eb="29">
      <t>リョウ</t>
    </rPh>
    <phoneticPr fontId="2"/>
  </si>
  <si>
    <r>
      <t>内訳計算シートＡ　　</t>
    </r>
    <r>
      <rPr>
        <b/>
        <sz val="12"/>
        <rFont val="HG丸ｺﾞｼｯｸM-PRO"/>
        <family val="3"/>
        <charset val="128"/>
      </rPr>
      <t>＜南西面＞</t>
    </r>
    <r>
      <rPr>
        <sz val="12"/>
        <rFont val="HG丸ｺﾞｼｯｸM-PRO"/>
        <family val="3"/>
        <charset val="128"/>
      </rPr>
      <t xml:space="preserve"> の外皮熱損失量と日射熱取得量</t>
    </r>
    <rPh sb="0" eb="2">
      <t>ウチワケ</t>
    </rPh>
    <rPh sb="2" eb="4">
      <t>ケイサン</t>
    </rPh>
    <rPh sb="13" eb="14">
      <t>メン</t>
    </rPh>
    <rPh sb="24" eb="26">
      <t>ニッシャ</t>
    </rPh>
    <rPh sb="26" eb="27">
      <t>ネツ</t>
    </rPh>
    <rPh sb="27" eb="29">
      <t>シュトク</t>
    </rPh>
    <rPh sb="29" eb="30">
      <t>リョウ</t>
    </rPh>
    <phoneticPr fontId="2"/>
  </si>
  <si>
    <r>
      <t>内訳計算シートＡ　　</t>
    </r>
    <r>
      <rPr>
        <b/>
        <sz val="12"/>
        <rFont val="HG丸ｺﾞｼｯｸM-PRO"/>
        <family val="3"/>
        <charset val="128"/>
      </rPr>
      <t>＜西面＞</t>
    </r>
    <r>
      <rPr>
        <sz val="12"/>
        <rFont val="HG丸ｺﾞｼｯｸM-PRO"/>
        <family val="3"/>
        <charset val="128"/>
      </rPr>
      <t xml:space="preserve"> の外皮熱損失量と日射熱取得量</t>
    </r>
    <rPh sb="0" eb="2">
      <t>ウチワケ</t>
    </rPh>
    <rPh sb="2" eb="4">
      <t>ケイサン</t>
    </rPh>
    <rPh sb="12" eb="13">
      <t>メン</t>
    </rPh>
    <rPh sb="23" eb="25">
      <t>ニッシャ</t>
    </rPh>
    <rPh sb="25" eb="26">
      <t>ネツ</t>
    </rPh>
    <rPh sb="26" eb="28">
      <t>シュトク</t>
    </rPh>
    <rPh sb="28" eb="29">
      <t>リョウ</t>
    </rPh>
    <phoneticPr fontId="2"/>
  </si>
  <si>
    <r>
      <t>内訳計算シートＡ　　</t>
    </r>
    <r>
      <rPr>
        <b/>
        <sz val="12"/>
        <rFont val="HG丸ｺﾞｼｯｸM-PRO"/>
        <family val="3"/>
        <charset val="128"/>
      </rPr>
      <t>＜北西面＞</t>
    </r>
    <r>
      <rPr>
        <sz val="12"/>
        <rFont val="HG丸ｺﾞｼｯｸM-PRO"/>
        <family val="3"/>
        <charset val="128"/>
      </rPr>
      <t xml:space="preserve"> の外皮熱損失量と日射熱取得量</t>
    </r>
    <rPh sb="0" eb="2">
      <t>ウチワケ</t>
    </rPh>
    <rPh sb="2" eb="4">
      <t>ケイサン</t>
    </rPh>
    <rPh sb="13" eb="14">
      <t>メン</t>
    </rPh>
    <rPh sb="24" eb="26">
      <t>ニッシャ</t>
    </rPh>
    <rPh sb="26" eb="27">
      <t>ネツ</t>
    </rPh>
    <rPh sb="27" eb="29">
      <t>シュトク</t>
    </rPh>
    <rPh sb="29" eb="30">
      <t>リョウ</t>
    </rPh>
    <phoneticPr fontId="2"/>
  </si>
  <si>
    <t>1）簡略計算法①による部位熱貫流率</t>
    <rPh sb="2" eb="4">
      <t>カンリャク</t>
    </rPh>
    <rPh sb="4" eb="7">
      <t>ケイサンホウ</t>
    </rPh>
    <rPh sb="11" eb="13">
      <t>ブイ</t>
    </rPh>
    <rPh sb="13" eb="14">
      <t>ネツ</t>
    </rPh>
    <rPh sb="14" eb="16">
      <t>カンリュウ</t>
    </rPh>
    <rPh sb="16" eb="17">
      <t>リツ</t>
    </rPh>
    <phoneticPr fontId="2"/>
  </si>
  <si>
    <t>2）簡略計算法②による部位熱貫流率</t>
    <rPh sb="2" eb="4">
      <t>カンリャク</t>
    </rPh>
    <rPh sb="4" eb="7">
      <t>ケイサンホウ</t>
    </rPh>
    <rPh sb="11" eb="13">
      <t>ブイ</t>
    </rPh>
    <rPh sb="13" eb="14">
      <t>ネツ</t>
    </rPh>
    <rPh sb="14" eb="16">
      <t>カンリュウ</t>
    </rPh>
    <rPh sb="16" eb="17">
      <t>リツ</t>
    </rPh>
    <phoneticPr fontId="2"/>
  </si>
  <si>
    <r>
      <t xml:space="preserve">4）住宅 </t>
    </r>
    <r>
      <rPr>
        <b/>
        <sz val="11"/>
        <rFont val="HG丸ｺﾞｼｯｸM-PRO"/>
        <family val="3"/>
        <charset val="128"/>
      </rPr>
      <t>＜北面＞</t>
    </r>
    <r>
      <rPr>
        <sz val="11"/>
        <rFont val="HG丸ｺﾞｼｯｸM-PRO"/>
        <family val="3"/>
        <charset val="128"/>
      </rPr>
      <t xml:space="preserve"> 計算結果</t>
    </r>
    <rPh sb="2" eb="4">
      <t>ジュウタク</t>
    </rPh>
    <rPh sb="6" eb="7">
      <t>キタ</t>
    </rPh>
    <rPh sb="7" eb="8">
      <t>メン</t>
    </rPh>
    <rPh sb="10" eb="12">
      <t>ケイサン</t>
    </rPh>
    <rPh sb="12" eb="14">
      <t>ケッカ</t>
    </rPh>
    <phoneticPr fontId="2"/>
  </si>
  <si>
    <r>
      <t xml:space="preserve">4）住宅 </t>
    </r>
    <r>
      <rPr>
        <b/>
        <sz val="11"/>
        <rFont val="HG丸ｺﾞｼｯｸM-PRO"/>
        <family val="3"/>
        <charset val="128"/>
      </rPr>
      <t>＜北東面＞</t>
    </r>
    <r>
      <rPr>
        <sz val="11"/>
        <rFont val="HG丸ｺﾞｼｯｸM-PRO"/>
        <family val="3"/>
        <charset val="128"/>
      </rPr>
      <t xml:space="preserve"> 計算結果</t>
    </r>
    <rPh sb="2" eb="4">
      <t>ジュウタク</t>
    </rPh>
    <rPh sb="8" eb="9">
      <t>メン</t>
    </rPh>
    <rPh sb="11" eb="13">
      <t>ケイサン</t>
    </rPh>
    <rPh sb="13" eb="15">
      <t>ケッカ</t>
    </rPh>
    <phoneticPr fontId="2"/>
  </si>
  <si>
    <r>
      <t xml:space="preserve">外壁 </t>
    </r>
    <r>
      <rPr>
        <b/>
        <sz val="11"/>
        <rFont val="HG丸ｺﾞｼｯｸM-PRO"/>
        <family val="3"/>
        <charset val="128"/>
      </rPr>
      <t>＜北東面＞</t>
    </r>
    <r>
      <rPr>
        <sz val="11"/>
        <rFont val="HG丸ｺﾞｼｯｸM-PRO"/>
        <family val="3"/>
        <charset val="128"/>
      </rPr>
      <t xml:space="preserve"> 各値合計</t>
    </r>
    <rPh sb="0" eb="2">
      <t>ガイヘキ</t>
    </rPh>
    <phoneticPr fontId="2"/>
  </si>
  <si>
    <r>
      <t xml:space="preserve">窓 </t>
    </r>
    <r>
      <rPr>
        <b/>
        <sz val="11"/>
        <rFont val="HG丸ｺﾞｼｯｸM-PRO"/>
        <family val="3"/>
        <charset val="128"/>
      </rPr>
      <t>＜北東面＞</t>
    </r>
    <r>
      <rPr>
        <sz val="11"/>
        <rFont val="HG丸ｺﾞｼｯｸM-PRO"/>
        <family val="3"/>
        <charset val="128"/>
      </rPr>
      <t xml:space="preserve"> 各値合計</t>
    </r>
    <rPh sb="0" eb="1">
      <t>マド</t>
    </rPh>
    <rPh sb="5" eb="6">
      <t>メン</t>
    </rPh>
    <rPh sb="8" eb="9">
      <t>カク</t>
    </rPh>
    <rPh sb="9" eb="10">
      <t>アタイ</t>
    </rPh>
    <rPh sb="10" eb="12">
      <t>ゴウケイ</t>
    </rPh>
    <phoneticPr fontId="2"/>
  </si>
  <si>
    <r>
      <t xml:space="preserve">窓 </t>
    </r>
    <r>
      <rPr>
        <b/>
        <sz val="11"/>
        <rFont val="HG丸ｺﾞｼｯｸM-PRO"/>
        <family val="3"/>
        <charset val="128"/>
      </rPr>
      <t>＜東面＞</t>
    </r>
    <r>
      <rPr>
        <sz val="11"/>
        <rFont val="HG丸ｺﾞｼｯｸM-PRO"/>
        <family val="3"/>
        <charset val="128"/>
      </rPr>
      <t xml:space="preserve"> 各値合計</t>
    </r>
    <rPh sb="0" eb="1">
      <t>マド</t>
    </rPh>
    <rPh sb="4" eb="5">
      <t>メン</t>
    </rPh>
    <rPh sb="7" eb="8">
      <t>カク</t>
    </rPh>
    <rPh sb="8" eb="9">
      <t>アタイ</t>
    </rPh>
    <rPh sb="9" eb="11">
      <t>ゴウケイ</t>
    </rPh>
    <phoneticPr fontId="2"/>
  </si>
  <si>
    <r>
      <t xml:space="preserve">外壁 </t>
    </r>
    <r>
      <rPr>
        <b/>
        <sz val="11"/>
        <rFont val="HG丸ｺﾞｼｯｸM-PRO"/>
        <family val="3"/>
        <charset val="128"/>
      </rPr>
      <t>＜東面＞</t>
    </r>
    <r>
      <rPr>
        <sz val="11"/>
        <rFont val="HG丸ｺﾞｼｯｸM-PRO"/>
        <family val="3"/>
        <charset val="128"/>
      </rPr>
      <t xml:space="preserve"> 各値合計</t>
    </r>
    <rPh sb="0" eb="2">
      <t>ガイヘキ</t>
    </rPh>
    <phoneticPr fontId="2"/>
  </si>
  <si>
    <r>
      <t xml:space="preserve">4）住宅 </t>
    </r>
    <r>
      <rPr>
        <b/>
        <sz val="11"/>
        <rFont val="HG丸ｺﾞｼｯｸM-PRO"/>
        <family val="3"/>
        <charset val="128"/>
      </rPr>
      <t>＜東面＞</t>
    </r>
    <r>
      <rPr>
        <sz val="11"/>
        <rFont val="HG丸ｺﾞｼｯｸM-PRO"/>
        <family val="3"/>
        <charset val="128"/>
      </rPr>
      <t xml:space="preserve"> 計算結果</t>
    </r>
    <rPh sb="2" eb="4">
      <t>ジュウタク</t>
    </rPh>
    <rPh sb="7" eb="8">
      <t>メン</t>
    </rPh>
    <rPh sb="10" eb="12">
      <t>ケイサン</t>
    </rPh>
    <rPh sb="12" eb="14">
      <t>ケッカ</t>
    </rPh>
    <phoneticPr fontId="2"/>
  </si>
  <si>
    <r>
      <t xml:space="preserve">窓 </t>
    </r>
    <r>
      <rPr>
        <b/>
        <sz val="11"/>
        <rFont val="HG丸ｺﾞｼｯｸM-PRO"/>
        <family val="3"/>
        <charset val="128"/>
      </rPr>
      <t>＜南東面＞</t>
    </r>
    <r>
      <rPr>
        <sz val="11"/>
        <rFont val="HG丸ｺﾞｼｯｸM-PRO"/>
        <family val="3"/>
        <charset val="128"/>
      </rPr>
      <t xml:space="preserve"> 各値合計</t>
    </r>
    <rPh sb="0" eb="1">
      <t>マド</t>
    </rPh>
    <rPh sb="5" eb="6">
      <t>メン</t>
    </rPh>
    <rPh sb="8" eb="9">
      <t>カク</t>
    </rPh>
    <rPh sb="9" eb="10">
      <t>アタイ</t>
    </rPh>
    <rPh sb="10" eb="12">
      <t>ゴウケイ</t>
    </rPh>
    <phoneticPr fontId="2"/>
  </si>
  <si>
    <r>
      <t xml:space="preserve">外壁 </t>
    </r>
    <r>
      <rPr>
        <b/>
        <sz val="11"/>
        <rFont val="HG丸ｺﾞｼｯｸM-PRO"/>
        <family val="3"/>
        <charset val="128"/>
      </rPr>
      <t>＜南東面＞</t>
    </r>
    <r>
      <rPr>
        <sz val="11"/>
        <rFont val="HG丸ｺﾞｼｯｸM-PRO"/>
        <family val="3"/>
        <charset val="128"/>
      </rPr>
      <t xml:space="preserve"> 各値合計</t>
    </r>
    <rPh sb="0" eb="2">
      <t>ガイヘキ</t>
    </rPh>
    <phoneticPr fontId="2"/>
  </si>
  <si>
    <r>
      <t xml:space="preserve">4）住宅 </t>
    </r>
    <r>
      <rPr>
        <b/>
        <sz val="11"/>
        <rFont val="HG丸ｺﾞｼｯｸM-PRO"/>
        <family val="3"/>
        <charset val="128"/>
      </rPr>
      <t>＜南東面＞</t>
    </r>
    <r>
      <rPr>
        <sz val="11"/>
        <rFont val="HG丸ｺﾞｼｯｸM-PRO"/>
        <family val="3"/>
        <charset val="128"/>
      </rPr>
      <t xml:space="preserve"> 計算結果</t>
    </r>
    <rPh sb="2" eb="4">
      <t>ジュウタク</t>
    </rPh>
    <rPh sb="8" eb="9">
      <t>メン</t>
    </rPh>
    <rPh sb="11" eb="13">
      <t>ケイサン</t>
    </rPh>
    <rPh sb="13" eb="15">
      <t>ケッカ</t>
    </rPh>
    <phoneticPr fontId="2"/>
  </si>
  <si>
    <r>
      <t xml:space="preserve">窓 </t>
    </r>
    <r>
      <rPr>
        <b/>
        <sz val="11"/>
        <rFont val="HG丸ｺﾞｼｯｸM-PRO"/>
        <family val="3"/>
        <charset val="128"/>
      </rPr>
      <t>＜南面＞</t>
    </r>
    <r>
      <rPr>
        <sz val="11"/>
        <rFont val="HG丸ｺﾞｼｯｸM-PRO"/>
        <family val="3"/>
        <charset val="128"/>
      </rPr>
      <t xml:space="preserve"> 各値合計</t>
    </r>
    <rPh sb="0" eb="1">
      <t>マド</t>
    </rPh>
    <rPh sb="4" eb="5">
      <t>メン</t>
    </rPh>
    <rPh sb="7" eb="8">
      <t>カク</t>
    </rPh>
    <rPh sb="8" eb="9">
      <t>アタイ</t>
    </rPh>
    <rPh sb="9" eb="11">
      <t>ゴウケイ</t>
    </rPh>
    <phoneticPr fontId="2"/>
  </si>
  <si>
    <r>
      <t xml:space="preserve">外壁 </t>
    </r>
    <r>
      <rPr>
        <b/>
        <sz val="11"/>
        <rFont val="HG丸ｺﾞｼｯｸM-PRO"/>
        <family val="3"/>
        <charset val="128"/>
      </rPr>
      <t>＜南面＞</t>
    </r>
    <r>
      <rPr>
        <sz val="11"/>
        <rFont val="HG丸ｺﾞｼｯｸM-PRO"/>
        <family val="3"/>
        <charset val="128"/>
      </rPr>
      <t xml:space="preserve"> 各値合計</t>
    </r>
    <rPh sb="0" eb="2">
      <t>ガイヘキ</t>
    </rPh>
    <phoneticPr fontId="2"/>
  </si>
  <si>
    <r>
      <t xml:space="preserve">4）住宅 </t>
    </r>
    <r>
      <rPr>
        <b/>
        <sz val="11"/>
        <rFont val="HG丸ｺﾞｼｯｸM-PRO"/>
        <family val="3"/>
        <charset val="128"/>
      </rPr>
      <t>＜南面＞</t>
    </r>
    <r>
      <rPr>
        <sz val="11"/>
        <rFont val="HG丸ｺﾞｼｯｸM-PRO"/>
        <family val="3"/>
        <charset val="128"/>
      </rPr>
      <t xml:space="preserve"> 計算結果</t>
    </r>
    <rPh sb="2" eb="4">
      <t>ジュウタク</t>
    </rPh>
    <rPh sb="7" eb="8">
      <t>メン</t>
    </rPh>
    <rPh sb="10" eb="12">
      <t>ケイサン</t>
    </rPh>
    <rPh sb="12" eb="14">
      <t>ケッカ</t>
    </rPh>
    <phoneticPr fontId="2"/>
  </si>
  <si>
    <r>
      <t xml:space="preserve">窓 </t>
    </r>
    <r>
      <rPr>
        <b/>
        <sz val="11"/>
        <rFont val="HG丸ｺﾞｼｯｸM-PRO"/>
        <family val="3"/>
        <charset val="128"/>
      </rPr>
      <t>＜南西面＞</t>
    </r>
    <r>
      <rPr>
        <sz val="11"/>
        <rFont val="HG丸ｺﾞｼｯｸM-PRO"/>
        <family val="3"/>
        <charset val="128"/>
      </rPr>
      <t xml:space="preserve"> 各値合計</t>
    </r>
    <rPh sb="0" eb="1">
      <t>マド</t>
    </rPh>
    <rPh sb="5" eb="6">
      <t>メン</t>
    </rPh>
    <rPh sb="8" eb="9">
      <t>カク</t>
    </rPh>
    <rPh sb="9" eb="10">
      <t>アタイ</t>
    </rPh>
    <rPh sb="10" eb="12">
      <t>ゴウケイ</t>
    </rPh>
    <phoneticPr fontId="2"/>
  </si>
  <si>
    <r>
      <t xml:space="preserve">外壁 </t>
    </r>
    <r>
      <rPr>
        <b/>
        <sz val="11"/>
        <rFont val="HG丸ｺﾞｼｯｸM-PRO"/>
        <family val="3"/>
        <charset val="128"/>
      </rPr>
      <t>＜南西面＞</t>
    </r>
    <r>
      <rPr>
        <sz val="11"/>
        <rFont val="HG丸ｺﾞｼｯｸM-PRO"/>
        <family val="3"/>
        <charset val="128"/>
      </rPr>
      <t xml:space="preserve"> 各値合計</t>
    </r>
    <rPh sb="0" eb="2">
      <t>ガイヘキ</t>
    </rPh>
    <phoneticPr fontId="2"/>
  </si>
  <si>
    <r>
      <t xml:space="preserve">4）住宅 </t>
    </r>
    <r>
      <rPr>
        <b/>
        <sz val="11"/>
        <rFont val="HG丸ｺﾞｼｯｸM-PRO"/>
        <family val="3"/>
        <charset val="128"/>
      </rPr>
      <t>＜南西面＞</t>
    </r>
    <r>
      <rPr>
        <sz val="11"/>
        <rFont val="HG丸ｺﾞｼｯｸM-PRO"/>
        <family val="3"/>
        <charset val="128"/>
      </rPr>
      <t xml:space="preserve"> 計算結果</t>
    </r>
    <rPh sb="2" eb="4">
      <t>ジュウタク</t>
    </rPh>
    <rPh sb="8" eb="9">
      <t>メン</t>
    </rPh>
    <rPh sb="11" eb="13">
      <t>ケイサン</t>
    </rPh>
    <rPh sb="13" eb="15">
      <t>ケッカ</t>
    </rPh>
    <phoneticPr fontId="2"/>
  </si>
  <si>
    <r>
      <t xml:space="preserve">窓 </t>
    </r>
    <r>
      <rPr>
        <b/>
        <sz val="11"/>
        <rFont val="HG丸ｺﾞｼｯｸM-PRO"/>
        <family val="3"/>
        <charset val="128"/>
      </rPr>
      <t>＜西面＞</t>
    </r>
    <r>
      <rPr>
        <sz val="11"/>
        <rFont val="HG丸ｺﾞｼｯｸM-PRO"/>
        <family val="3"/>
        <charset val="128"/>
      </rPr>
      <t xml:space="preserve"> 各値合計</t>
    </r>
    <rPh sb="0" eb="1">
      <t>マド</t>
    </rPh>
    <rPh sb="4" eb="5">
      <t>メン</t>
    </rPh>
    <rPh sb="7" eb="8">
      <t>カク</t>
    </rPh>
    <rPh sb="8" eb="9">
      <t>アタイ</t>
    </rPh>
    <rPh sb="9" eb="11">
      <t>ゴウケイ</t>
    </rPh>
    <phoneticPr fontId="2"/>
  </si>
  <si>
    <r>
      <t xml:space="preserve">外壁 </t>
    </r>
    <r>
      <rPr>
        <b/>
        <sz val="11"/>
        <rFont val="HG丸ｺﾞｼｯｸM-PRO"/>
        <family val="3"/>
        <charset val="128"/>
      </rPr>
      <t>＜西面＞</t>
    </r>
    <r>
      <rPr>
        <sz val="11"/>
        <rFont val="HG丸ｺﾞｼｯｸM-PRO"/>
        <family val="3"/>
        <charset val="128"/>
      </rPr>
      <t xml:space="preserve"> 各値合計</t>
    </r>
    <rPh sb="0" eb="2">
      <t>ガイヘキ</t>
    </rPh>
    <phoneticPr fontId="2"/>
  </si>
  <si>
    <r>
      <t xml:space="preserve">4）住宅 </t>
    </r>
    <r>
      <rPr>
        <b/>
        <sz val="11"/>
        <rFont val="HG丸ｺﾞｼｯｸM-PRO"/>
        <family val="3"/>
        <charset val="128"/>
      </rPr>
      <t>＜西面＞</t>
    </r>
    <r>
      <rPr>
        <sz val="11"/>
        <rFont val="HG丸ｺﾞｼｯｸM-PRO"/>
        <family val="3"/>
        <charset val="128"/>
      </rPr>
      <t xml:space="preserve"> 計算結果</t>
    </r>
    <rPh sb="2" eb="4">
      <t>ジュウタク</t>
    </rPh>
    <rPh sb="7" eb="8">
      <t>メン</t>
    </rPh>
    <rPh sb="10" eb="12">
      <t>ケイサン</t>
    </rPh>
    <rPh sb="12" eb="14">
      <t>ケッカ</t>
    </rPh>
    <phoneticPr fontId="2"/>
  </si>
  <si>
    <r>
      <t xml:space="preserve">窓 </t>
    </r>
    <r>
      <rPr>
        <b/>
        <sz val="11"/>
        <rFont val="HG丸ｺﾞｼｯｸM-PRO"/>
        <family val="3"/>
        <charset val="128"/>
      </rPr>
      <t>＜北西面＞</t>
    </r>
    <r>
      <rPr>
        <sz val="11"/>
        <rFont val="HG丸ｺﾞｼｯｸM-PRO"/>
        <family val="3"/>
        <charset val="128"/>
      </rPr>
      <t xml:space="preserve"> 各値合計</t>
    </r>
    <rPh sb="0" eb="1">
      <t>マド</t>
    </rPh>
    <rPh sb="5" eb="6">
      <t>メン</t>
    </rPh>
    <rPh sb="8" eb="9">
      <t>カク</t>
    </rPh>
    <rPh sb="9" eb="10">
      <t>アタイ</t>
    </rPh>
    <rPh sb="10" eb="12">
      <t>ゴウケイ</t>
    </rPh>
    <phoneticPr fontId="2"/>
  </si>
  <si>
    <r>
      <t xml:space="preserve">外壁 </t>
    </r>
    <r>
      <rPr>
        <b/>
        <sz val="11"/>
        <rFont val="HG丸ｺﾞｼｯｸM-PRO"/>
        <family val="3"/>
        <charset val="128"/>
      </rPr>
      <t>＜北西面＞</t>
    </r>
    <r>
      <rPr>
        <sz val="11"/>
        <rFont val="HG丸ｺﾞｼｯｸM-PRO"/>
        <family val="3"/>
        <charset val="128"/>
      </rPr>
      <t xml:space="preserve"> 各値合計</t>
    </r>
    <rPh sb="0" eb="2">
      <t>ガイヘキ</t>
    </rPh>
    <phoneticPr fontId="2"/>
  </si>
  <si>
    <r>
      <t xml:space="preserve">4）住宅 </t>
    </r>
    <r>
      <rPr>
        <b/>
        <sz val="11"/>
        <rFont val="HG丸ｺﾞｼｯｸM-PRO"/>
        <family val="3"/>
        <charset val="128"/>
      </rPr>
      <t>＜北西面＞</t>
    </r>
    <r>
      <rPr>
        <sz val="11"/>
        <rFont val="HG丸ｺﾞｼｯｸM-PRO"/>
        <family val="3"/>
        <charset val="128"/>
      </rPr>
      <t xml:space="preserve"> 計算結果</t>
    </r>
    <rPh sb="2" eb="4">
      <t>ジュウタク</t>
    </rPh>
    <rPh sb="8" eb="9">
      <t>メン</t>
    </rPh>
    <rPh sb="11" eb="13">
      <t>ケイサン</t>
    </rPh>
    <rPh sb="13" eb="15">
      <t>ケッカ</t>
    </rPh>
    <phoneticPr fontId="2"/>
  </si>
  <si>
    <r>
      <t xml:space="preserve">外壁 </t>
    </r>
    <r>
      <rPr>
        <b/>
        <sz val="11"/>
        <rFont val="HG丸ｺﾞｼｯｸM-PRO"/>
        <family val="3"/>
        <charset val="128"/>
      </rPr>
      <t>＜屋根・天井・床＞</t>
    </r>
    <r>
      <rPr>
        <sz val="11"/>
        <rFont val="HG丸ｺﾞｼｯｸM-PRO"/>
        <family val="3"/>
        <charset val="128"/>
      </rPr>
      <t xml:space="preserve"> 各値合計</t>
    </r>
    <rPh sb="0" eb="2">
      <t>ガイヘキ</t>
    </rPh>
    <rPh sb="10" eb="11">
      <t>ユカ</t>
    </rPh>
    <phoneticPr fontId="2"/>
  </si>
  <si>
    <r>
      <t xml:space="preserve">窓 </t>
    </r>
    <r>
      <rPr>
        <b/>
        <sz val="11"/>
        <rFont val="HG丸ｺﾞｼｯｸM-PRO"/>
        <family val="3"/>
        <charset val="128"/>
      </rPr>
      <t>＜屋根・天井＞</t>
    </r>
    <r>
      <rPr>
        <sz val="11"/>
        <rFont val="HG丸ｺﾞｼｯｸM-PRO"/>
        <family val="3"/>
        <charset val="128"/>
      </rPr>
      <t xml:space="preserve"> 各値合計</t>
    </r>
    <rPh sb="0" eb="1">
      <t>マド</t>
    </rPh>
    <rPh sb="10" eb="11">
      <t>カク</t>
    </rPh>
    <rPh sb="11" eb="12">
      <t>アタイ</t>
    </rPh>
    <rPh sb="12" eb="14">
      <t>ゴウケイ</t>
    </rPh>
    <phoneticPr fontId="2"/>
  </si>
  <si>
    <t>温度差係数</t>
    <rPh sb="0" eb="3">
      <t>オンドサ</t>
    </rPh>
    <rPh sb="3" eb="5">
      <t>ケイスウ</t>
    </rPh>
    <phoneticPr fontId="2"/>
  </si>
  <si>
    <t>方位係数</t>
    <rPh sb="0" eb="2">
      <t>ホウイ</t>
    </rPh>
    <rPh sb="2" eb="4">
      <t>ケイスウ</t>
    </rPh>
    <phoneticPr fontId="2"/>
  </si>
  <si>
    <r>
      <t xml:space="preserve">ドア </t>
    </r>
    <r>
      <rPr>
        <b/>
        <sz val="11"/>
        <rFont val="HG丸ｺﾞｼｯｸM-PRO"/>
        <family val="3"/>
        <charset val="128"/>
      </rPr>
      <t>＜北面＞</t>
    </r>
    <r>
      <rPr>
        <sz val="11"/>
        <rFont val="HG丸ｺﾞｼｯｸM-PRO"/>
        <family val="3"/>
        <charset val="128"/>
      </rPr>
      <t xml:space="preserve"> 各値合計</t>
    </r>
    <rPh sb="4" eb="5">
      <t>キタ</t>
    </rPh>
    <phoneticPr fontId="2"/>
  </si>
  <si>
    <r>
      <t xml:space="preserve">ドア </t>
    </r>
    <r>
      <rPr>
        <b/>
        <sz val="11"/>
        <rFont val="HG丸ｺﾞｼｯｸM-PRO"/>
        <family val="3"/>
        <charset val="128"/>
      </rPr>
      <t>＜北東面＞</t>
    </r>
    <r>
      <rPr>
        <sz val="11"/>
        <rFont val="HG丸ｺﾞｼｯｸM-PRO"/>
        <family val="3"/>
        <charset val="128"/>
      </rPr>
      <t xml:space="preserve"> 各値合計</t>
    </r>
    <phoneticPr fontId="2"/>
  </si>
  <si>
    <r>
      <t xml:space="preserve">ドア </t>
    </r>
    <r>
      <rPr>
        <b/>
        <sz val="11"/>
        <rFont val="HG丸ｺﾞｼｯｸM-PRO"/>
        <family val="3"/>
        <charset val="128"/>
      </rPr>
      <t>＜東面＞</t>
    </r>
    <r>
      <rPr>
        <sz val="11"/>
        <rFont val="HG丸ｺﾞｼｯｸM-PRO"/>
        <family val="3"/>
        <charset val="128"/>
      </rPr>
      <t xml:space="preserve"> 各値合計</t>
    </r>
    <phoneticPr fontId="2"/>
  </si>
  <si>
    <r>
      <t xml:space="preserve">ドア </t>
    </r>
    <r>
      <rPr>
        <b/>
        <sz val="11"/>
        <rFont val="HG丸ｺﾞｼｯｸM-PRO"/>
        <family val="3"/>
        <charset val="128"/>
      </rPr>
      <t>＜南東面＞</t>
    </r>
    <r>
      <rPr>
        <sz val="11"/>
        <rFont val="HG丸ｺﾞｼｯｸM-PRO"/>
        <family val="3"/>
        <charset val="128"/>
      </rPr>
      <t xml:space="preserve"> 各値合計</t>
    </r>
    <phoneticPr fontId="2"/>
  </si>
  <si>
    <r>
      <t xml:space="preserve">ドア </t>
    </r>
    <r>
      <rPr>
        <b/>
        <sz val="11"/>
        <rFont val="HG丸ｺﾞｼｯｸM-PRO"/>
        <family val="3"/>
        <charset val="128"/>
      </rPr>
      <t>＜南面＞</t>
    </r>
    <r>
      <rPr>
        <sz val="11"/>
        <rFont val="HG丸ｺﾞｼｯｸM-PRO"/>
        <family val="3"/>
        <charset val="128"/>
      </rPr>
      <t xml:space="preserve"> 各値合計</t>
    </r>
    <phoneticPr fontId="2"/>
  </si>
  <si>
    <r>
      <t xml:space="preserve">ドア </t>
    </r>
    <r>
      <rPr>
        <b/>
        <sz val="11"/>
        <rFont val="HG丸ｺﾞｼｯｸM-PRO"/>
        <family val="3"/>
        <charset val="128"/>
      </rPr>
      <t>＜南西面＞</t>
    </r>
    <r>
      <rPr>
        <sz val="11"/>
        <rFont val="HG丸ｺﾞｼｯｸM-PRO"/>
        <family val="3"/>
        <charset val="128"/>
      </rPr>
      <t xml:space="preserve"> 各値合計</t>
    </r>
    <phoneticPr fontId="2"/>
  </si>
  <si>
    <r>
      <t xml:space="preserve">ドア </t>
    </r>
    <r>
      <rPr>
        <b/>
        <sz val="11"/>
        <rFont val="HG丸ｺﾞｼｯｸM-PRO"/>
        <family val="3"/>
        <charset val="128"/>
      </rPr>
      <t>＜西面＞</t>
    </r>
    <r>
      <rPr>
        <sz val="11"/>
        <rFont val="HG丸ｺﾞｼｯｸM-PRO"/>
        <family val="3"/>
        <charset val="128"/>
      </rPr>
      <t xml:space="preserve"> 各値合計</t>
    </r>
    <phoneticPr fontId="2"/>
  </si>
  <si>
    <r>
      <t xml:space="preserve">ドア </t>
    </r>
    <r>
      <rPr>
        <b/>
        <sz val="11"/>
        <rFont val="HG丸ｺﾞｼｯｸM-PRO"/>
        <family val="3"/>
        <charset val="128"/>
      </rPr>
      <t>＜北西面＞</t>
    </r>
    <r>
      <rPr>
        <sz val="11"/>
        <rFont val="HG丸ｺﾞｼｯｸM-PRO"/>
        <family val="3"/>
        <charset val="128"/>
      </rPr>
      <t xml:space="preserve"> 各値合計</t>
    </r>
    <phoneticPr fontId="2"/>
  </si>
  <si>
    <t>日射の当たらない
基礎等</t>
    <rPh sb="0" eb="2">
      <t>ニッシャ</t>
    </rPh>
    <rPh sb="3" eb="4">
      <t>ア</t>
    </rPh>
    <rPh sb="9" eb="11">
      <t>キソ</t>
    </rPh>
    <rPh sb="11" eb="12">
      <t>トウ</t>
    </rPh>
    <phoneticPr fontId="2"/>
  </si>
  <si>
    <t>等級４</t>
    <rPh sb="0" eb="2">
      <t>トウキュウ</t>
    </rPh>
    <phoneticPr fontId="2"/>
  </si>
  <si>
    <t>等級３</t>
    <rPh sb="0" eb="2">
      <t>トウキュウ</t>
    </rPh>
    <phoneticPr fontId="2"/>
  </si>
  <si>
    <t>等級２</t>
    <rPh sb="0" eb="2">
      <t>トウキュウ</t>
    </rPh>
    <phoneticPr fontId="2"/>
  </si>
  <si>
    <t>ＵA</t>
    <phoneticPr fontId="2"/>
  </si>
  <si>
    <t>ηA</t>
    <phoneticPr fontId="2"/>
  </si>
  <si>
    <t>-</t>
    <phoneticPr fontId="2"/>
  </si>
  <si>
    <t>等級４</t>
    <phoneticPr fontId="2"/>
  </si>
  <si>
    <t>等級３</t>
    <phoneticPr fontId="2"/>
  </si>
  <si>
    <t>等級２</t>
    <phoneticPr fontId="2"/>
  </si>
  <si>
    <t>1）土間床等の面積の入力</t>
    <rPh sb="2" eb="4">
      <t>ドマ</t>
    </rPh>
    <rPh sb="4" eb="5">
      <t>ユカ</t>
    </rPh>
    <rPh sb="5" eb="6">
      <t>トウ</t>
    </rPh>
    <rPh sb="7" eb="9">
      <t>メンセキ</t>
    </rPh>
    <rPh sb="10" eb="12">
      <t>ニュウリョク</t>
    </rPh>
    <phoneticPr fontId="2"/>
  </si>
  <si>
    <t>※3）において温度差係数を分けて計算する場合、</t>
    <rPh sb="13" eb="14">
      <t>ワ</t>
    </rPh>
    <rPh sb="16" eb="18">
      <t>ケイサン</t>
    </rPh>
    <phoneticPr fontId="2"/>
  </si>
  <si>
    <t>2）基礎等の断面仕様の入力</t>
    <rPh sb="2" eb="5">
      <t>キソトウ</t>
    </rPh>
    <rPh sb="6" eb="8">
      <t>ダンメン</t>
    </rPh>
    <rPh sb="8" eb="10">
      <t>シヨウ</t>
    </rPh>
    <rPh sb="11" eb="13">
      <t>ニュウリョク</t>
    </rPh>
    <phoneticPr fontId="2"/>
  </si>
  <si>
    <t>3）基礎等の外周長さの入力</t>
    <rPh sb="2" eb="5">
      <t>キソトウ</t>
    </rPh>
    <rPh sb="6" eb="8">
      <t>ガイシュウ</t>
    </rPh>
    <rPh sb="8" eb="9">
      <t>ナガ</t>
    </rPh>
    <rPh sb="11" eb="13">
      <t>ニュウリョク</t>
    </rPh>
    <phoneticPr fontId="2"/>
  </si>
  <si>
    <r>
      <t xml:space="preserve">3）住宅 </t>
    </r>
    <r>
      <rPr>
        <b/>
        <sz val="11"/>
        <rFont val="HG丸ｺﾞｼｯｸM-PRO"/>
        <family val="3"/>
        <charset val="128"/>
      </rPr>
      <t>＜屋根・天井・床等＞</t>
    </r>
    <r>
      <rPr>
        <sz val="11"/>
        <rFont val="HG丸ｺﾞｼｯｸM-PRO"/>
        <family val="3"/>
        <charset val="128"/>
      </rPr>
      <t xml:space="preserve"> 計算結果</t>
    </r>
    <rPh sb="2" eb="4">
      <t>ジュウタク</t>
    </rPh>
    <rPh sb="12" eb="13">
      <t>ユカ</t>
    </rPh>
    <rPh sb="13" eb="14">
      <t>トウ</t>
    </rPh>
    <rPh sb="16" eb="18">
      <t>ケイサン</t>
    </rPh>
    <rPh sb="18" eb="20">
      <t>ケッカ</t>
    </rPh>
    <phoneticPr fontId="2"/>
  </si>
  <si>
    <t>㎡（</t>
    <phoneticPr fontId="2"/>
  </si>
  <si>
    <t>㎡、</t>
    <phoneticPr fontId="2"/>
  </si>
  <si>
    <t>屋根等</t>
    <phoneticPr fontId="2"/>
  </si>
  <si>
    <t>㎡）</t>
    <phoneticPr fontId="2"/>
  </si>
  <si>
    <t>W/K</t>
    <phoneticPr fontId="2"/>
  </si>
  <si>
    <t>除外窓
等面積</t>
    <rPh sb="0" eb="2">
      <t>ジョガイ</t>
    </rPh>
    <rPh sb="2" eb="3">
      <t>マド</t>
    </rPh>
    <rPh sb="4" eb="5">
      <t>トウ</t>
    </rPh>
    <rPh sb="5" eb="7">
      <t>メンセキ</t>
    </rPh>
    <phoneticPr fontId="2"/>
  </si>
  <si>
    <t>mc</t>
    <phoneticPr fontId="2"/>
  </si>
  <si>
    <t>mh</t>
    <phoneticPr fontId="2"/>
  </si>
  <si>
    <t>端数処理無し</t>
    <rPh sb="0" eb="2">
      <t>ハスウ</t>
    </rPh>
    <rPh sb="2" eb="4">
      <t>ショリ</t>
    </rPh>
    <rPh sb="4" eb="5">
      <t>ナ</t>
    </rPh>
    <phoneticPr fontId="2"/>
  </si>
  <si>
    <t>　外皮等面積の合計</t>
    <phoneticPr fontId="2"/>
  </si>
  <si>
    <r>
      <t>　外皮平均熱貫流率(U</t>
    </r>
    <r>
      <rPr>
        <vertAlign val="subscript"/>
        <sz val="10"/>
        <rFont val="ＭＳ Ｐゴシック"/>
        <family val="3"/>
        <charset val="128"/>
      </rPr>
      <t>A</t>
    </r>
    <r>
      <rPr>
        <sz val="10"/>
        <rFont val="ＭＳ Ｐゴシック"/>
        <family val="3"/>
        <charset val="128"/>
      </rPr>
      <t>)</t>
    </r>
    <rPh sb="1" eb="3">
      <t>ガイヒ</t>
    </rPh>
    <rPh sb="3" eb="5">
      <t>ヘイキン</t>
    </rPh>
    <rPh sb="5" eb="6">
      <t>ネツ</t>
    </rPh>
    <rPh sb="6" eb="8">
      <t>カンリュウ</t>
    </rPh>
    <rPh sb="8" eb="9">
      <t>リツ</t>
    </rPh>
    <phoneticPr fontId="2"/>
  </si>
  <si>
    <t>W/（㎡K）</t>
    <phoneticPr fontId="2"/>
  </si>
  <si>
    <r>
      <t>　冷房期の平均日射熱取得率(η</t>
    </r>
    <r>
      <rPr>
        <vertAlign val="subscript"/>
        <sz val="10"/>
        <rFont val="ＭＳ Ｐゴシック"/>
        <family val="3"/>
        <charset val="128"/>
      </rPr>
      <t>AC</t>
    </r>
    <r>
      <rPr>
        <sz val="10"/>
        <rFont val="ＭＳ Ｐゴシック"/>
        <family val="3"/>
        <charset val="128"/>
      </rPr>
      <t>)</t>
    </r>
    <phoneticPr fontId="2"/>
  </si>
  <si>
    <r>
      <t>　暖房期の平均日射熱取得率(η</t>
    </r>
    <r>
      <rPr>
        <vertAlign val="subscript"/>
        <sz val="10"/>
        <rFont val="ＭＳ Ｐゴシック"/>
        <family val="3"/>
        <charset val="128"/>
      </rPr>
      <t>AH</t>
    </r>
    <r>
      <rPr>
        <sz val="10"/>
        <rFont val="ＭＳ Ｐゴシック"/>
        <family val="3"/>
        <charset val="128"/>
      </rPr>
      <t>)</t>
    </r>
    <rPh sb="1" eb="3">
      <t>ダンボウ</t>
    </rPh>
    <phoneticPr fontId="2"/>
  </si>
  <si>
    <t>　冷房期の平均日射熱取得率</t>
    <rPh sb="3" eb="4">
      <t>キ</t>
    </rPh>
    <phoneticPr fontId="2"/>
  </si>
  <si>
    <t>‐H28年省エネルギー基準に基づく（木造戸建て住宅）‐</t>
    <rPh sb="4" eb="5">
      <t>ネン</t>
    </rPh>
    <rPh sb="5" eb="6">
      <t>ショウ</t>
    </rPh>
    <rPh sb="11" eb="13">
      <t>キジュン</t>
    </rPh>
    <rPh sb="14" eb="15">
      <t>モト</t>
    </rPh>
    <rPh sb="18" eb="20">
      <t>モクゾウ</t>
    </rPh>
    <rPh sb="20" eb="22">
      <t>コダ</t>
    </rPh>
    <rPh sb="23" eb="25">
      <t>ジュウタク</t>
    </rPh>
    <phoneticPr fontId="2"/>
  </si>
  <si>
    <t xml:space="preserve">住宅の外皮平均熱貫流率及び平均日射熱取得率（冷房期・暖房期）計算書 </t>
    <rPh sb="0" eb="2">
      <t>ジュウタク</t>
    </rPh>
    <rPh sb="5" eb="7">
      <t>ヘイキン</t>
    </rPh>
    <rPh sb="8" eb="10">
      <t>カンリュウ</t>
    </rPh>
    <rPh sb="10" eb="11">
      <t>リツ</t>
    </rPh>
    <rPh sb="11" eb="12">
      <t>オヨ</t>
    </rPh>
    <rPh sb="13" eb="15">
      <t>ヘイキン</t>
    </rPh>
    <rPh sb="15" eb="17">
      <t>ニッシャ</t>
    </rPh>
    <rPh sb="17" eb="18">
      <t>ネツ</t>
    </rPh>
    <rPh sb="18" eb="20">
      <t>シュトク</t>
    </rPh>
    <rPh sb="20" eb="21">
      <t>リツ</t>
    </rPh>
    <rPh sb="22" eb="24">
      <t>レイボウ</t>
    </rPh>
    <rPh sb="24" eb="25">
      <t>キ</t>
    </rPh>
    <rPh sb="26" eb="28">
      <t>ダンボウ</t>
    </rPh>
    <rPh sb="28" eb="29">
      <t>キ</t>
    </rPh>
    <rPh sb="30" eb="33">
      <t>ケイサンショ</t>
    </rPh>
    <phoneticPr fontId="2"/>
  </si>
  <si>
    <t>外皮熱損失量</t>
    <rPh sb="0" eb="2">
      <t>ガイヒ</t>
    </rPh>
    <rPh sb="2" eb="3">
      <t>ネツ</t>
    </rPh>
    <rPh sb="3" eb="5">
      <t>ソンシツ</t>
    </rPh>
    <rPh sb="5" eb="6">
      <t>リョウ</t>
    </rPh>
    <phoneticPr fontId="2"/>
  </si>
  <si>
    <t>　注３：本計算シートの計算方法は、（国研）建築研究所が示す外皮性能の計算方法を遵守しています。</t>
    <rPh sb="1" eb="2">
      <t>チュウ</t>
    </rPh>
    <rPh sb="4" eb="5">
      <t>ホン</t>
    </rPh>
    <rPh sb="5" eb="7">
      <t>ケイサン</t>
    </rPh>
    <rPh sb="11" eb="13">
      <t>ケイサン</t>
    </rPh>
    <rPh sb="13" eb="15">
      <t>ホウホウ</t>
    </rPh>
    <rPh sb="18" eb="19">
      <t>クニ</t>
    </rPh>
    <rPh sb="19" eb="20">
      <t>ケン</t>
    </rPh>
    <rPh sb="21" eb="23">
      <t>ケンチク</t>
    </rPh>
    <rPh sb="23" eb="26">
      <t>ケンキュウジョ</t>
    </rPh>
    <rPh sb="27" eb="28">
      <t>シメ</t>
    </rPh>
    <rPh sb="29" eb="31">
      <t>ガイヒ</t>
    </rPh>
    <rPh sb="31" eb="33">
      <t>セイノウ</t>
    </rPh>
    <rPh sb="34" eb="36">
      <t>ケイサン</t>
    </rPh>
    <rPh sb="36" eb="38">
      <t>ホウホウ</t>
    </rPh>
    <rPh sb="39" eb="41">
      <t>ジュンシュ</t>
    </rPh>
    <phoneticPr fontId="2"/>
  </si>
  <si>
    <t>熱伝達抵抗　Ｒsi</t>
    <rPh sb="0" eb="1">
      <t>ネツ</t>
    </rPh>
    <rPh sb="1" eb="3">
      <t>デンタツ</t>
    </rPh>
    <rPh sb="3" eb="5">
      <t>テイコウ</t>
    </rPh>
    <phoneticPr fontId="2"/>
  </si>
  <si>
    <t>熱伝達抵抗　Ｒse</t>
    <rPh sb="0" eb="1">
      <t>ネツ</t>
    </rPh>
    <rPh sb="1" eb="3">
      <t>デンタツ</t>
    </rPh>
    <rPh sb="3" eb="5">
      <t>テイコウ</t>
    </rPh>
    <phoneticPr fontId="2"/>
  </si>
  <si>
    <t>１地域</t>
    <rPh sb="1" eb="3">
      <t>チイキ</t>
    </rPh>
    <phoneticPr fontId="2"/>
  </si>
  <si>
    <t>２地域</t>
    <rPh sb="1" eb="3">
      <t>チイキ</t>
    </rPh>
    <phoneticPr fontId="2"/>
  </si>
  <si>
    <t>３地域</t>
    <rPh sb="1" eb="3">
      <t>チイキ</t>
    </rPh>
    <phoneticPr fontId="2"/>
  </si>
  <si>
    <t>４地域</t>
    <rPh sb="1" eb="3">
      <t>チイキ</t>
    </rPh>
    <phoneticPr fontId="2"/>
  </si>
  <si>
    <t>５地域</t>
    <rPh sb="1" eb="3">
      <t>チイキ</t>
    </rPh>
    <phoneticPr fontId="2"/>
  </si>
  <si>
    <t>６地域</t>
    <rPh sb="1" eb="3">
      <t>チイキ</t>
    </rPh>
    <phoneticPr fontId="2"/>
  </si>
  <si>
    <t>７地域</t>
    <rPh sb="1" eb="3">
      <t>チイキ</t>
    </rPh>
    <phoneticPr fontId="2"/>
  </si>
  <si>
    <t>８地域</t>
    <rPh sb="1" eb="3">
      <t>チイキ</t>
    </rPh>
    <phoneticPr fontId="2"/>
  </si>
  <si>
    <t>　外皮平均熱貫流率</t>
    <phoneticPr fontId="2"/>
  </si>
  <si>
    <t>　※1　建具の仕様、ガラスの仕様および付属部材の組み合わせに応じた日射熱取得率を直接入力して下さい。</t>
    <rPh sb="4" eb="6">
      <t>タテグ</t>
    </rPh>
    <rPh sb="7" eb="9">
      <t>シヨウ</t>
    </rPh>
    <rPh sb="14" eb="16">
      <t>シヨウ</t>
    </rPh>
    <rPh sb="24" eb="25">
      <t>ク</t>
    </rPh>
    <rPh sb="26" eb="27">
      <t>ア</t>
    </rPh>
    <rPh sb="38" eb="39">
      <t>リツ</t>
    </rPh>
    <phoneticPr fontId="2"/>
  </si>
  <si>
    <t>日射熱
取得率
※1</t>
    <rPh sb="0" eb="2">
      <t>ニッシャ</t>
    </rPh>
    <rPh sb="2" eb="3">
      <t>ネツ</t>
    </rPh>
    <rPh sb="4" eb="6">
      <t>シュトク</t>
    </rPh>
    <phoneticPr fontId="2"/>
  </si>
  <si>
    <t>（１３）</t>
    <phoneticPr fontId="2"/>
  </si>
  <si>
    <t>（１５）</t>
    <phoneticPr fontId="2"/>
  </si>
  <si>
    <t>（１５）１</t>
    <phoneticPr fontId="2"/>
  </si>
  <si>
    <t>（１５）２</t>
    <phoneticPr fontId="2"/>
  </si>
  <si>
    <t>本バージョン：ver1.2</t>
    <rPh sb="0" eb="1">
      <t>ホン</t>
    </rPh>
    <phoneticPr fontId="2"/>
  </si>
  <si>
    <t>共通条件・結果シート：２）外皮等面積の合計の関数式訂正（切り下げ→四捨五入に修正）</t>
    <phoneticPr fontId="2"/>
  </si>
  <si>
    <t>本バージョン：ver1.3</t>
    <rPh sb="0" eb="1">
      <t>ホン</t>
    </rPh>
    <phoneticPr fontId="2"/>
  </si>
  <si>
    <t>シートA（全8方位）：２）および３）合計欄のバグ修正（数値が表示されない）</t>
    <rPh sb="5" eb="6">
      <t>ゼン</t>
    </rPh>
    <rPh sb="7" eb="9">
      <t>ホウイ</t>
    </rPh>
    <rPh sb="18" eb="20">
      <t>ゴウケイ</t>
    </rPh>
    <rPh sb="20" eb="21">
      <t>ラン</t>
    </rPh>
    <rPh sb="24" eb="26">
      <t>シュウセイ</t>
    </rPh>
    <rPh sb="27" eb="29">
      <t>スウチ</t>
    </rPh>
    <rPh sb="30" eb="32">
      <t>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</si>
</sst>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
    <numFmt numFmtId="177" formatCode="0.000_);[Red]\(0.000\)"/>
    <numFmt numFmtId="178" formatCode="0.0"/>
    <numFmt numFmtId="179" formatCode="0.000_ "/>
    <numFmt numFmtId="180" formatCode="0.00_ "/>
    <numFmt numFmtId="181" formatCode="0.0_ "/>
    <numFmt numFmtId="182" formatCode="0.00;_퐀"/>
  </numFmts>
  <fonts count="2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HG丸ｺﾞｼｯｸM-PRO"/>
      <family val="3"/>
      <charset val="128"/>
    </font>
    <font>
      <b/>
      <sz val="11"/>
      <name val="HG丸ｺﾞｼｯｸM-PRO"/>
      <family val="3"/>
      <charset val="128"/>
    </font>
    <font>
      <sz val="12"/>
      <name val="HG丸ｺﾞｼｯｸM-PRO"/>
      <family val="3"/>
      <charset val="128"/>
    </font>
    <font>
      <sz val="10"/>
      <name val="HG丸ｺﾞｼｯｸM-PRO"/>
      <family val="3"/>
      <charset val="128"/>
    </font>
    <font>
      <sz val="11"/>
      <name val="HG丸ｺﾞｼｯｸM-PRO"/>
      <family val="3"/>
      <charset val="128"/>
    </font>
    <font>
      <sz val="9"/>
      <name val="ＭＳ Ｐゴシック"/>
      <family val="3"/>
      <charset val="128"/>
    </font>
    <font>
      <sz val="14"/>
      <name val="HG丸ｺﾞｼｯｸM-PRO"/>
      <family val="3"/>
      <charset val="128"/>
    </font>
    <font>
      <b/>
      <sz val="11"/>
      <name val="HGP創英角ｺﾞｼｯｸUB"/>
      <family val="3"/>
      <charset val="128"/>
    </font>
    <font>
      <b/>
      <sz val="14"/>
      <name val="ＭＳ ゴシック"/>
      <family val="3"/>
      <charset val="128"/>
    </font>
    <font>
      <sz val="10"/>
      <name val="ＭＳ 明朝"/>
      <family val="1"/>
      <charset val="128"/>
    </font>
    <font>
      <sz val="10"/>
      <name val="HGP創英角ｺﾞｼｯｸUB"/>
      <family val="3"/>
      <charset val="128"/>
    </font>
    <font>
      <b/>
      <sz val="14"/>
      <name val="HGP創英角ｺﾞｼｯｸUB"/>
      <family val="3"/>
      <charset val="128"/>
    </font>
    <font>
      <sz val="14"/>
      <name val="HGP創英角ｺﾞｼｯｸUB"/>
      <family val="3"/>
      <charset val="128"/>
    </font>
    <font>
      <sz val="14"/>
      <name val="HGS創英角ｺﾞｼｯｸUB"/>
      <family val="3"/>
      <charset val="128"/>
    </font>
    <font>
      <b/>
      <sz val="14"/>
      <name val="HG丸ｺﾞｼｯｸM-PRO"/>
      <family val="3"/>
      <charset val="128"/>
    </font>
    <font>
      <b/>
      <sz val="10"/>
      <name val="HG丸ｺﾞｼｯｸM-PRO"/>
      <family val="3"/>
      <charset val="128"/>
    </font>
    <font>
      <sz val="8"/>
      <name val="HG丸ｺﾞｼｯｸM-PRO"/>
      <family val="3"/>
      <charset val="128"/>
    </font>
    <font>
      <sz val="9.5"/>
      <name val="ＭＳ Ｐゴシック"/>
      <family val="3"/>
      <charset val="128"/>
    </font>
    <font>
      <vertAlign val="subscript"/>
      <sz val="10"/>
      <name val="ＭＳ Ｐゴシック"/>
      <family val="3"/>
      <charset val="128"/>
    </font>
    <font>
      <sz val="9"/>
      <color indexed="81"/>
      <name val="ＭＳ Ｐゴシック"/>
      <family val="3"/>
      <charset val="128"/>
    </font>
    <font>
      <sz val="12"/>
      <color rgb="FFFF0000"/>
      <name val="HG丸ｺﾞｼｯｸM-PRO"/>
      <family val="3"/>
      <charset val="128"/>
    </font>
    <font>
      <sz val="10"/>
      <name val="ＭＳ Ｐゴシック"/>
      <family val="3"/>
      <charset val="128"/>
      <scheme val="major"/>
    </font>
    <font>
      <sz val="9"/>
      <color theme="1"/>
      <name val="ＭＳ Ｐゴシック"/>
      <family val="3"/>
      <charset val="128"/>
    </font>
    <font>
      <sz val="10"/>
      <name val="ＭＳ Ｐゴシック"/>
      <family val="3"/>
      <charset val="128"/>
      <scheme val="minor"/>
    </font>
    <font>
      <sz val="1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CC"/>
        <bgColor indexed="64"/>
      </patternFill>
    </fill>
  </fills>
  <borders count="134">
    <border>
      <left/>
      <right/>
      <top/>
      <bottom/>
      <diagonal/>
    </border>
    <border>
      <left/>
      <right/>
      <top/>
      <bottom style="hair">
        <color indexed="64"/>
      </bottom>
      <diagonal/>
    </border>
    <border>
      <left style="hair">
        <color indexed="64"/>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ashed">
        <color indexed="64"/>
      </top>
      <bottom style="dashed">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style="dashed">
        <color indexed="64"/>
      </top>
      <bottom style="dashed">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medium">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hair">
        <color indexed="64"/>
      </top>
      <bottom style="hair">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s>
  <cellStyleXfs count="3">
    <xf numFmtId="0" fontId="0" fillId="0" borderId="0"/>
    <xf numFmtId="38" fontId="1" fillId="0" borderId="0" applyFont="0" applyFill="0" applyBorder="0" applyAlignment="0" applyProtection="0"/>
    <xf numFmtId="0" fontId="13" fillId="0" borderId="0"/>
  </cellStyleXfs>
  <cellXfs count="554">
    <xf numFmtId="0" fontId="0" fillId="0" borderId="0" xfId="0"/>
    <xf numFmtId="0" fontId="0" fillId="0" borderId="0" xfId="0" applyAlignment="1">
      <alignment vertical="center"/>
    </xf>
    <xf numFmtId="0" fontId="3" fillId="0" borderId="0" xfId="0" applyFont="1" applyAlignment="1">
      <alignment vertical="center"/>
    </xf>
    <xf numFmtId="0" fontId="3" fillId="0" borderId="0" xfId="0" applyFont="1"/>
    <xf numFmtId="0" fontId="8"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9" fillId="0" borderId="6" xfId="0" applyFont="1" applyBorder="1" applyAlignment="1">
      <alignment horizontal="right" vertical="center"/>
    </xf>
    <xf numFmtId="0" fontId="3" fillId="0" borderId="7" xfId="0" applyFont="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2" fontId="6" fillId="0" borderId="0" xfId="1" applyNumberFormat="1" applyFont="1" applyBorder="1" applyAlignment="1">
      <alignment horizontal="right" vertical="center"/>
    </xf>
    <xf numFmtId="0" fontId="9" fillId="0" borderId="0" xfId="0" applyFont="1" applyBorder="1" applyAlignment="1">
      <alignment horizontal="left" vertical="center"/>
    </xf>
    <xf numFmtId="2" fontId="0" fillId="0" borderId="0" xfId="1" applyNumberFormat="1" applyFont="1" applyBorder="1"/>
    <xf numFmtId="0" fontId="3" fillId="2" borderId="16" xfId="0" applyFont="1" applyFill="1" applyBorder="1" applyAlignment="1">
      <alignment vertical="center"/>
    </xf>
    <xf numFmtId="0" fontId="3" fillId="2" borderId="17" xfId="0" applyFont="1" applyFill="1" applyBorder="1" applyAlignment="1">
      <alignment vertical="center"/>
    </xf>
    <xf numFmtId="2" fontId="8" fillId="0" borderId="0" xfId="0" applyNumberFormat="1"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vertical="center"/>
    </xf>
    <xf numFmtId="2" fontId="8" fillId="0" borderId="0" xfId="0" applyNumberFormat="1" applyFont="1" applyAlignment="1">
      <alignment vertical="center"/>
    </xf>
    <xf numFmtId="0" fontId="0" fillId="0" borderId="0" xfId="0" applyBorder="1"/>
    <xf numFmtId="0" fontId="7" fillId="0" borderId="20" xfId="0" applyFont="1" applyBorder="1" applyAlignment="1">
      <alignment horizontal="center" vertical="center"/>
    </xf>
    <xf numFmtId="0" fontId="7" fillId="0" borderId="21" xfId="0" applyFont="1" applyBorder="1" applyAlignment="1">
      <alignment horizontal="center" vertical="center"/>
    </xf>
    <xf numFmtId="176" fontId="7" fillId="0" borderId="22" xfId="0" applyNumberFormat="1" applyFont="1" applyBorder="1" applyAlignment="1">
      <alignment vertical="center"/>
    </xf>
    <xf numFmtId="176" fontId="7" fillId="0" borderId="23" xfId="0" applyNumberFormat="1" applyFont="1" applyBorder="1" applyAlignment="1">
      <alignment vertical="center"/>
    </xf>
    <xf numFmtId="0" fontId="7" fillId="0" borderId="24" xfId="0" applyFont="1" applyBorder="1" applyAlignment="1">
      <alignment horizontal="center" vertical="center" wrapText="1"/>
    </xf>
    <xf numFmtId="176" fontId="7" fillId="0" borderId="20" xfId="0" applyNumberFormat="1" applyFont="1" applyBorder="1" applyAlignment="1">
      <alignment horizontal="center" vertical="center"/>
    </xf>
    <xf numFmtId="176" fontId="7" fillId="0" borderId="25" xfId="0" applyNumberFormat="1" applyFont="1" applyBorder="1" applyAlignment="1">
      <alignment horizontal="center" vertical="center"/>
    </xf>
    <xf numFmtId="0" fontId="7" fillId="0" borderId="7" xfId="0" applyFont="1" applyBorder="1" applyAlignment="1">
      <alignment vertical="center"/>
    </xf>
    <xf numFmtId="0" fontId="8" fillId="0" borderId="16" xfId="0" applyFont="1" applyBorder="1" applyAlignment="1">
      <alignment vertical="center"/>
    </xf>
    <xf numFmtId="0" fontId="7" fillId="0" borderId="16" xfId="0" applyFont="1" applyBorder="1" applyAlignment="1">
      <alignment vertical="center"/>
    </xf>
    <xf numFmtId="179" fontId="7" fillId="0" borderId="26" xfId="0" applyNumberFormat="1" applyFont="1" applyBorder="1" applyAlignment="1">
      <alignment horizontal="right" vertical="center"/>
    </xf>
    <xf numFmtId="0" fontId="19" fillId="0" borderId="27" xfId="0" applyFont="1" applyBorder="1" applyAlignment="1">
      <alignment vertical="center"/>
    </xf>
    <xf numFmtId="0" fontId="19" fillId="0" borderId="28" xfId="0" applyFont="1" applyBorder="1" applyAlignment="1">
      <alignment vertical="center"/>
    </xf>
    <xf numFmtId="0" fontId="19" fillId="0" borderId="29" xfId="0" applyFont="1" applyBorder="1" applyAlignment="1">
      <alignment horizontal="right" vertical="center"/>
    </xf>
    <xf numFmtId="0" fontId="19" fillId="0" borderId="27" xfId="0" applyFont="1" applyBorder="1" applyAlignment="1">
      <alignment horizontal="left" vertical="center"/>
    </xf>
    <xf numFmtId="177" fontId="7" fillId="0" borderId="30" xfId="0" applyNumberFormat="1" applyFont="1" applyBorder="1" applyAlignment="1">
      <alignment vertical="center"/>
    </xf>
    <xf numFmtId="177" fontId="7" fillId="0" borderId="31" xfId="0" applyNumberFormat="1" applyFont="1" applyBorder="1" applyAlignment="1">
      <alignment vertical="center"/>
    </xf>
    <xf numFmtId="177" fontId="7" fillId="0" borderId="32" xfId="0" applyNumberFormat="1" applyFont="1" applyBorder="1" applyAlignment="1">
      <alignment vertical="center"/>
    </xf>
    <xf numFmtId="0" fontId="3" fillId="0" borderId="0" xfId="0" applyFont="1" applyAlignment="1">
      <alignment horizontal="center"/>
    </xf>
    <xf numFmtId="0" fontId="3" fillId="0" borderId="0" xfId="0" quotePrefix="1" applyFont="1" applyAlignment="1">
      <alignment horizontal="center"/>
    </xf>
    <xf numFmtId="0" fontId="3" fillId="0" borderId="0" xfId="0" applyFont="1" applyAlignment="1" applyProtection="1">
      <alignment horizontal="center" vertical="center"/>
    </xf>
    <xf numFmtId="0" fontId="3" fillId="0" borderId="0" xfId="0" applyFont="1" applyAlignment="1" applyProtection="1">
      <alignment vertical="center"/>
    </xf>
    <xf numFmtId="0" fontId="19" fillId="3" borderId="27" xfId="0" applyFont="1" applyFill="1" applyBorder="1" applyAlignment="1" applyProtection="1">
      <alignment horizontal="center" vertical="center"/>
      <protection locked="0"/>
    </xf>
    <xf numFmtId="176" fontId="7" fillId="3" borderId="33" xfId="0" applyNumberFormat="1" applyFont="1" applyFill="1" applyBorder="1" applyAlignment="1" applyProtection="1">
      <alignment vertical="center"/>
      <protection locked="0"/>
    </xf>
    <xf numFmtId="0" fontId="8" fillId="3" borderId="34" xfId="0" applyFont="1" applyFill="1" applyBorder="1" applyAlignment="1" applyProtection="1">
      <alignment vertical="center"/>
      <protection locked="0"/>
    </xf>
    <xf numFmtId="176" fontId="7" fillId="3" borderId="22" xfId="0" applyNumberFormat="1" applyFont="1" applyFill="1" applyBorder="1" applyAlignment="1" applyProtection="1">
      <alignment vertical="center"/>
      <protection locked="0"/>
    </xf>
    <xf numFmtId="176" fontId="7" fillId="3" borderId="23" xfId="0" applyNumberFormat="1" applyFont="1" applyFill="1" applyBorder="1" applyAlignment="1" applyProtection="1">
      <alignment vertical="center"/>
      <protection locked="0"/>
    </xf>
    <xf numFmtId="176" fontId="7" fillId="3" borderId="20" xfId="0" applyNumberFormat="1" applyFont="1" applyFill="1" applyBorder="1" applyAlignment="1" applyProtection="1">
      <alignment vertical="center"/>
      <protection locked="0"/>
    </xf>
    <xf numFmtId="176" fontId="7" fillId="3" borderId="35" xfId="0" applyNumberFormat="1" applyFont="1" applyFill="1" applyBorder="1" applyAlignment="1" applyProtection="1">
      <alignment vertical="center"/>
      <protection locked="0"/>
    </xf>
    <xf numFmtId="176" fontId="7" fillId="3" borderId="25" xfId="0" applyNumberFormat="1" applyFont="1" applyFill="1" applyBorder="1" applyAlignment="1" applyProtection="1">
      <alignment vertical="center"/>
      <protection locked="0"/>
    </xf>
    <xf numFmtId="176" fontId="7" fillId="3" borderId="18" xfId="0" applyNumberFormat="1" applyFont="1" applyFill="1" applyBorder="1" applyAlignment="1" applyProtection="1">
      <alignment vertical="center"/>
      <protection locked="0"/>
    </xf>
    <xf numFmtId="0" fontId="3" fillId="0" borderId="0" xfId="0" applyFont="1" applyBorder="1" applyAlignment="1">
      <alignment vertical="center" shrinkToFit="1"/>
    </xf>
    <xf numFmtId="0" fontId="3" fillId="0" borderId="36" xfId="0" applyFont="1" applyBorder="1" applyAlignment="1">
      <alignment vertical="center" shrinkToFit="1"/>
    </xf>
    <xf numFmtId="0" fontId="3" fillId="0" borderId="36" xfId="0" applyFont="1" applyBorder="1" applyAlignment="1">
      <alignment vertical="center" wrapText="1"/>
    </xf>
    <xf numFmtId="0" fontId="3" fillId="0" borderId="0" xfId="0" applyFont="1" applyBorder="1" applyAlignment="1">
      <alignment vertical="center" wrapText="1"/>
    </xf>
    <xf numFmtId="181" fontId="3" fillId="0" borderId="0" xfId="0" applyNumberFormat="1" applyFont="1" applyAlignment="1" applyProtection="1">
      <alignment vertical="center"/>
    </xf>
    <xf numFmtId="181" fontId="3" fillId="0" borderId="0" xfId="0" applyNumberFormat="1" applyFont="1" applyAlignment="1"/>
    <xf numFmtId="0" fontId="3" fillId="0" borderId="0" xfId="0" applyFont="1" applyFill="1" applyBorder="1" applyAlignment="1">
      <alignment horizontal="center" vertical="center"/>
    </xf>
    <xf numFmtId="2" fontId="6" fillId="0" borderId="0" xfId="0" applyNumberFormat="1" applyFont="1" applyAlignment="1">
      <alignment horizontal="center" vertical="center"/>
    </xf>
    <xf numFmtId="0" fontId="0" fillId="0" borderId="0" xfId="0" applyFill="1" applyAlignment="1">
      <alignment vertical="center"/>
    </xf>
    <xf numFmtId="0" fontId="3" fillId="0" borderId="0" xfId="0" applyFont="1" applyFill="1" applyAlignment="1">
      <alignment vertical="center"/>
    </xf>
    <xf numFmtId="0" fontId="8"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pplyProtection="1">
      <alignment vertical="center"/>
      <protection locked="0"/>
    </xf>
    <xf numFmtId="0" fontId="3" fillId="0" borderId="0" xfId="0" applyFont="1" applyFill="1" applyBorder="1" applyAlignment="1">
      <alignment vertical="center"/>
    </xf>
    <xf numFmtId="0" fontId="3" fillId="0" borderId="5" xfId="0" applyFont="1" applyFill="1" applyBorder="1" applyAlignment="1" applyProtection="1">
      <alignment vertical="center"/>
    </xf>
    <xf numFmtId="0" fontId="9" fillId="0" borderId="6" xfId="0" applyFont="1" applyFill="1" applyBorder="1" applyAlignment="1" applyProtection="1">
      <alignment horizontal="right" vertical="center"/>
    </xf>
    <xf numFmtId="0" fontId="9" fillId="0" borderId="5" xfId="0" applyFont="1" applyFill="1" applyBorder="1" applyAlignment="1" applyProtection="1">
      <alignment vertical="center"/>
    </xf>
    <xf numFmtId="0" fontId="9" fillId="0" borderId="19"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23"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16" xfId="0" applyFont="1" applyFill="1" applyBorder="1" applyAlignment="1" applyProtection="1">
      <alignment vertical="center"/>
    </xf>
    <xf numFmtId="0" fontId="3" fillId="0" borderId="37" xfId="0" applyFont="1" applyFill="1" applyBorder="1" applyAlignment="1" applyProtection="1">
      <alignment vertical="center"/>
    </xf>
    <xf numFmtId="0" fontId="3" fillId="0" borderId="0" xfId="0" applyFont="1" applyFill="1"/>
    <xf numFmtId="0" fontId="0" fillId="0" borderId="0" xfId="0" applyFill="1"/>
    <xf numFmtId="0" fontId="3" fillId="0" borderId="36" xfId="0" applyFont="1" applyFill="1" applyBorder="1" applyAlignment="1">
      <alignment vertical="center"/>
    </xf>
    <xf numFmtId="0" fontId="3" fillId="0" borderId="36" xfId="0" applyFont="1" applyFill="1" applyBorder="1" applyAlignment="1">
      <alignment horizontal="center" vertical="center"/>
    </xf>
    <xf numFmtId="0" fontId="8" fillId="0" borderId="36" xfId="0" applyFont="1" applyFill="1" applyBorder="1" applyAlignment="1">
      <alignment vertical="center"/>
    </xf>
    <xf numFmtId="0" fontId="8" fillId="0" borderId="0" xfId="0" applyFont="1" applyFill="1" applyBorder="1" applyAlignment="1">
      <alignment vertical="center"/>
    </xf>
    <xf numFmtId="0" fontId="0" fillId="0" borderId="0" xfId="0" applyAlignment="1">
      <alignment horizontal="center" vertical="center"/>
    </xf>
    <xf numFmtId="0" fontId="0" fillId="0" borderId="22" xfId="0" applyBorder="1" applyAlignment="1">
      <alignment horizontal="center" vertical="center"/>
    </xf>
    <xf numFmtId="178" fontId="0" fillId="0" borderId="22" xfId="0" applyNumberFormat="1" applyBorder="1" applyAlignment="1">
      <alignment horizontal="center" vertical="center"/>
    </xf>
    <xf numFmtId="0" fontId="7" fillId="0" borderId="3" xfId="0" applyFont="1" applyBorder="1" applyAlignment="1">
      <alignment horizontal="center" vertical="center" wrapText="1"/>
    </xf>
    <xf numFmtId="176" fontId="7" fillId="0" borderId="9" xfId="0" applyNumberFormat="1" applyFont="1" applyBorder="1" applyAlignment="1">
      <alignment vertical="center"/>
    </xf>
    <xf numFmtId="176" fontId="7" fillId="0" borderId="4" xfId="0" applyNumberFormat="1" applyFont="1" applyBorder="1" applyAlignment="1">
      <alignment vertical="center"/>
    </xf>
    <xf numFmtId="176" fontId="7" fillId="0" borderId="38" xfId="0" applyNumberFormat="1" applyFont="1" applyBorder="1" applyAlignment="1">
      <alignment vertical="center"/>
    </xf>
    <xf numFmtId="176" fontId="7" fillId="4" borderId="33" xfId="0" applyNumberFormat="1" applyFont="1" applyFill="1" applyBorder="1" applyAlignment="1" applyProtection="1">
      <alignment vertical="center"/>
      <protection locked="0"/>
    </xf>
    <xf numFmtId="176" fontId="7" fillId="4" borderId="39" xfId="0" applyNumberFormat="1" applyFont="1" applyFill="1" applyBorder="1" applyAlignment="1" applyProtection="1">
      <alignment vertical="center"/>
      <protection locked="0"/>
    </xf>
    <xf numFmtId="176" fontId="7" fillId="0" borderId="23" xfId="0" applyNumberFormat="1" applyFont="1" applyBorder="1" applyAlignment="1">
      <alignment horizontal="right" vertical="center"/>
    </xf>
    <xf numFmtId="176" fontId="7" fillId="0" borderId="22" xfId="0" applyNumberFormat="1" applyFont="1" applyBorder="1" applyAlignment="1">
      <alignment horizontal="right" vertical="center"/>
    </xf>
    <xf numFmtId="0" fontId="6" fillId="0" borderId="0" xfId="1" applyNumberFormat="1" applyFont="1" applyFill="1" applyBorder="1" applyAlignment="1">
      <alignment vertical="center"/>
    </xf>
    <xf numFmtId="0" fontId="3" fillId="0" borderId="0" xfId="0" applyFont="1" applyAlignment="1">
      <alignment horizontal="center" vertical="center"/>
    </xf>
    <xf numFmtId="181" fontId="3" fillId="0" borderId="0" xfId="0" applyNumberFormat="1" applyFont="1" applyAlignment="1">
      <alignment horizontal="center" vertical="center"/>
    </xf>
    <xf numFmtId="0" fontId="3" fillId="3" borderId="61" xfId="0" applyFont="1" applyFill="1" applyBorder="1" applyAlignment="1">
      <alignment vertical="center"/>
    </xf>
    <xf numFmtId="0" fontId="6" fillId="3" borderId="9" xfId="0" applyFont="1" applyFill="1" applyBorder="1" applyAlignment="1">
      <alignment vertical="center"/>
    </xf>
    <xf numFmtId="0" fontId="6" fillId="3" borderId="45" xfId="0" applyFont="1" applyFill="1" applyBorder="1" applyAlignment="1">
      <alignment vertical="center"/>
    </xf>
    <xf numFmtId="0" fontId="8" fillId="0" borderId="0" xfId="0" applyFont="1" applyBorder="1" applyAlignment="1">
      <alignment horizontal="center" vertical="center"/>
    </xf>
    <xf numFmtId="180" fontId="3" fillId="0" borderId="0" xfId="0" applyNumberFormat="1" applyFont="1" applyBorder="1" applyAlignment="1">
      <alignment horizontal="center" vertical="center"/>
    </xf>
    <xf numFmtId="0" fontId="8" fillId="0" borderId="0" xfId="0" applyFont="1" applyBorder="1" applyAlignment="1">
      <alignment vertical="center"/>
    </xf>
    <xf numFmtId="180" fontId="3" fillId="0" borderId="5" xfId="0" applyNumberFormat="1" applyFont="1" applyBorder="1" applyAlignment="1">
      <alignment vertical="center"/>
    </xf>
    <xf numFmtId="180" fontId="9" fillId="0" borderId="5" xfId="0" applyNumberFormat="1" applyFont="1" applyBorder="1" applyAlignment="1">
      <alignment vertical="center"/>
    </xf>
    <xf numFmtId="180" fontId="9" fillId="0" borderId="19" xfId="0" applyNumberFormat="1" applyFont="1" applyBorder="1" applyAlignment="1">
      <alignment vertical="center"/>
    </xf>
    <xf numFmtId="180" fontId="3" fillId="0" borderId="4" xfId="0" applyNumberFormat="1" applyFont="1" applyBorder="1" applyAlignment="1">
      <alignment vertical="center"/>
    </xf>
    <xf numFmtId="180" fontId="3" fillId="0" borderId="23" xfId="0" applyNumberFormat="1" applyFont="1" applyBorder="1" applyAlignment="1">
      <alignment vertical="center"/>
    </xf>
    <xf numFmtId="180" fontId="3" fillId="0" borderId="16" xfId="0" applyNumberFormat="1" applyFont="1" applyBorder="1" applyAlignment="1">
      <alignment vertical="center"/>
    </xf>
    <xf numFmtId="180" fontId="3" fillId="0" borderId="17" xfId="0" applyNumberFormat="1" applyFont="1" applyBorder="1" applyAlignment="1">
      <alignment vertical="center"/>
    </xf>
    <xf numFmtId="0" fontId="3" fillId="0" borderId="0" xfId="0" applyFont="1" applyAlignment="1" applyProtection="1">
      <alignment vertical="center"/>
      <protection locked="0"/>
    </xf>
    <xf numFmtId="0" fontId="3" fillId="0" borderId="22" xfId="0" applyFont="1" applyBorder="1" applyAlignment="1">
      <alignment vertical="center"/>
    </xf>
    <xf numFmtId="0" fontId="9" fillId="0" borderId="0" xfId="0" applyFont="1" applyFill="1" applyBorder="1" applyAlignment="1">
      <alignment vertical="center"/>
    </xf>
    <xf numFmtId="0" fontId="0" fillId="0" borderId="22" xfId="0" applyBorder="1" applyAlignment="1">
      <alignment horizontal="center" vertical="center"/>
    </xf>
    <xf numFmtId="0" fontId="3" fillId="0" borderId="22" xfId="0" applyFont="1" applyBorder="1" applyAlignment="1">
      <alignment horizontal="center" vertical="center"/>
    </xf>
    <xf numFmtId="0" fontId="9" fillId="0" borderId="6" xfId="0" applyFont="1" applyFill="1" applyBorder="1" applyAlignment="1">
      <alignment vertical="center"/>
    </xf>
    <xf numFmtId="0" fontId="1" fillId="2" borderId="6" xfId="1" applyNumberFormat="1" applyFont="1" applyFill="1" applyBorder="1" applyAlignment="1">
      <alignment horizontal="center" vertical="center"/>
    </xf>
    <xf numFmtId="0" fontId="1" fillId="2" borderId="21" xfId="1" applyNumberFormat="1" applyFont="1" applyFill="1" applyBorder="1" applyAlignment="1">
      <alignment horizontal="center" vertical="center"/>
    </xf>
    <xf numFmtId="14" fontId="0" fillId="0" borderId="0" xfId="0" applyNumberFormat="1"/>
    <xf numFmtId="0" fontId="3" fillId="0" borderId="22" xfId="0" applyFont="1" applyBorder="1" applyAlignment="1">
      <alignment horizontal="center" vertical="center" wrapText="1"/>
    </xf>
    <xf numFmtId="0" fontId="3" fillId="0" borderId="43" xfId="0" applyFont="1" applyBorder="1" applyAlignment="1">
      <alignment horizontal="center" vertical="center"/>
    </xf>
    <xf numFmtId="0" fontId="3" fillId="0" borderId="5" xfId="0" applyFont="1" applyBorder="1" applyAlignment="1">
      <alignment horizontal="center" vertical="center"/>
    </xf>
    <xf numFmtId="0" fontId="3" fillId="0" borderId="19" xfId="0" applyFont="1" applyBorder="1" applyAlignment="1">
      <alignment horizontal="center" vertical="center"/>
    </xf>
    <xf numFmtId="0" fontId="25" fillId="0" borderId="62"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63"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17" xfId="0" applyFont="1" applyFill="1" applyBorder="1" applyAlignment="1">
      <alignment horizontal="center" vertical="center"/>
    </xf>
    <xf numFmtId="0" fontId="0" fillId="0" borderId="22" xfId="0" applyBorder="1" applyAlignment="1">
      <alignment horizontal="center" vertical="center"/>
    </xf>
    <xf numFmtId="0" fontId="8" fillId="3" borderId="4" xfId="0" applyFont="1" applyFill="1" applyBorder="1" applyAlignment="1" applyProtection="1">
      <alignment horizontal="center" vertical="center"/>
      <protection locked="0"/>
    </xf>
    <xf numFmtId="0" fontId="8" fillId="3" borderId="23" xfId="0" applyFont="1" applyFill="1" applyBorder="1" applyAlignment="1" applyProtection="1">
      <alignment horizontal="center" vertical="center"/>
      <protection locked="0"/>
    </xf>
    <xf numFmtId="0" fontId="1" fillId="2" borderId="16" xfId="1" applyNumberFormat="1" applyFont="1" applyFill="1" applyBorder="1" applyAlignment="1">
      <alignment horizontal="center" vertical="center"/>
    </xf>
    <xf numFmtId="0" fontId="1" fillId="2" borderId="17" xfId="1" applyNumberFormat="1" applyFont="1" applyFill="1" applyBorder="1" applyAlignment="1">
      <alignment horizontal="center" vertical="center"/>
    </xf>
    <xf numFmtId="0" fontId="6" fillId="0" borderId="7" xfId="0" applyFont="1" applyBorder="1" applyAlignment="1">
      <alignment horizontal="right" vertical="center"/>
    </xf>
    <xf numFmtId="0" fontId="6" fillId="0" borderId="16" xfId="0" applyFont="1" applyBorder="1" applyAlignment="1">
      <alignment horizontal="right" vertical="center"/>
    </xf>
    <xf numFmtId="0" fontId="24" fillId="0" borderId="3" xfId="0" applyFont="1" applyBorder="1" applyAlignment="1">
      <alignment horizontal="center" vertical="center"/>
    </xf>
    <xf numFmtId="0" fontId="24" fillId="0" borderId="37" xfId="0" applyFont="1" applyBorder="1" applyAlignment="1">
      <alignment horizontal="center" vertical="center"/>
    </xf>
    <xf numFmtId="0" fontId="24" fillId="0" borderId="5" xfId="0" applyFont="1" applyBorder="1" applyAlignment="1">
      <alignment horizontal="center" vertical="center"/>
    </xf>
    <xf numFmtId="0" fontId="24" fillId="0" borderId="19" xfId="0" applyFont="1" applyBorder="1" applyAlignment="1">
      <alignment horizontal="center"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6" xfId="0" applyFont="1" applyBorder="1" applyAlignment="1">
      <alignment horizontal="center" vertical="center"/>
    </xf>
    <xf numFmtId="0" fontId="3" fillId="0" borderId="34" xfId="0" applyFont="1" applyBorder="1" applyAlignment="1">
      <alignment horizontal="center" vertical="center"/>
    </xf>
    <xf numFmtId="0" fontId="6" fillId="0" borderId="61" xfId="0" applyFont="1" applyBorder="1" applyAlignment="1">
      <alignment horizontal="right" vertical="center"/>
    </xf>
    <xf numFmtId="0" fontId="6" fillId="0" borderId="6" xfId="0" applyFont="1" applyBorder="1" applyAlignment="1">
      <alignment horizontal="right" vertical="center"/>
    </xf>
    <xf numFmtId="0" fontId="3" fillId="0" borderId="61" xfId="0" applyFont="1" applyBorder="1" applyAlignment="1">
      <alignment vertical="center"/>
    </xf>
    <xf numFmtId="0" fontId="3" fillId="0" borderId="6" xfId="0" applyFont="1" applyBorder="1" applyAlignment="1">
      <alignment vertical="center"/>
    </xf>
    <xf numFmtId="0" fontId="3" fillId="0" borderId="21" xfId="0" applyFont="1" applyBorder="1" applyAlignment="1">
      <alignment vertical="center"/>
    </xf>
    <xf numFmtId="0" fontId="0" fillId="0" borderId="50" xfId="0" applyBorder="1" applyAlignment="1">
      <alignment horizontal="center" vertical="center"/>
    </xf>
    <xf numFmtId="2" fontId="10" fillId="0" borderId="0" xfId="0" applyNumberFormat="1" applyFont="1" applyAlignment="1">
      <alignment horizontal="center" vertical="center"/>
    </xf>
    <xf numFmtId="0" fontId="6" fillId="0" borderId="0" xfId="0" applyFont="1" applyAlignment="1">
      <alignment horizontal="center" vertical="center"/>
    </xf>
    <xf numFmtId="0" fontId="3" fillId="0" borderId="9" xfId="0" applyFont="1" applyBorder="1" applyAlignment="1">
      <alignment vertical="center"/>
    </xf>
    <xf numFmtId="0" fontId="3" fillId="0" borderId="4" xfId="0" applyFont="1" applyBorder="1" applyAlignment="1">
      <alignment vertical="center"/>
    </xf>
    <xf numFmtId="0" fontId="3" fillId="0" borderId="23" xfId="0" applyFont="1" applyBorder="1" applyAlignment="1">
      <alignment vertical="center"/>
    </xf>
    <xf numFmtId="0" fontId="8" fillId="3" borderId="4" xfId="0" applyFont="1" applyFill="1" applyBorder="1" applyAlignment="1" applyProtection="1">
      <alignment vertical="center"/>
      <protection locked="0"/>
    </xf>
    <xf numFmtId="0" fontId="8" fillId="3" borderId="38" xfId="0" applyFont="1" applyFill="1" applyBorder="1" applyAlignment="1" applyProtection="1">
      <alignment vertical="center"/>
      <protection locked="0"/>
    </xf>
    <xf numFmtId="0" fontId="3" fillId="2" borderId="62"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8" xfId="0" applyFont="1" applyBorder="1" applyAlignment="1">
      <alignment vertical="center"/>
    </xf>
    <xf numFmtId="0" fontId="3" fillId="0" borderId="5" xfId="0" applyFont="1" applyBorder="1" applyAlignment="1">
      <alignment vertical="center"/>
    </xf>
    <xf numFmtId="0" fontId="3" fillId="0" borderId="19" xfId="0" applyFont="1" applyBorder="1" applyAlignment="1">
      <alignment vertical="center"/>
    </xf>
    <xf numFmtId="0" fontId="8" fillId="3" borderId="5" xfId="0" applyFont="1" applyFill="1" applyBorder="1" applyAlignment="1" applyProtection="1">
      <alignment vertical="center"/>
      <protection locked="0"/>
    </xf>
    <xf numFmtId="0" fontId="8" fillId="3" borderId="19" xfId="0" applyFont="1" applyFill="1" applyBorder="1" applyAlignment="1" applyProtection="1">
      <alignment vertical="center"/>
      <protection locked="0"/>
    </xf>
    <xf numFmtId="0" fontId="3" fillId="2" borderId="16" xfId="0" applyFont="1" applyFill="1" applyBorder="1" applyAlignment="1">
      <alignment horizontal="right" vertical="center"/>
    </xf>
    <xf numFmtId="0" fontId="8" fillId="3" borderId="16" xfId="0" applyFont="1" applyFill="1" applyBorder="1" applyAlignment="1" applyProtection="1">
      <alignment horizontal="center" vertical="center"/>
      <protection locked="0"/>
    </xf>
    <xf numFmtId="0" fontId="6" fillId="2" borderId="61" xfId="1" applyNumberFormat="1" applyFont="1" applyFill="1" applyBorder="1" applyAlignment="1">
      <alignment horizontal="right" vertical="center"/>
    </xf>
    <xf numFmtId="0" fontId="6" fillId="2" borderId="6" xfId="1" applyNumberFormat="1" applyFont="1" applyFill="1" applyBorder="1" applyAlignment="1">
      <alignment horizontal="right" vertical="center"/>
    </xf>
    <xf numFmtId="0" fontId="9" fillId="0" borderId="6" xfId="0" applyFont="1" applyBorder="1" applyAlignment="1">
      <alignment horizontal="left" vertical="center"/>
    </xf>
    <xf numFmtId="0" fontId="9" fillId="0" borderId="21" xfId="0" applyFont="1" applyBorder="1" applyAlignment="1">
      <alignment horizontal="left" vertical="center"/>
    </xf>
    <xf numFmtId="0" fontId="9" fillId="2" borderId="16" xfId="1" applyNumberFormat="1" applyFont="1" applyFill="1" applyBorder="1" applyAlignment="1">
      <alignment horizontal="center" vertical="center"/>
    </xf>
    <xf numFmtId="0" fontId="9" fillId="2" borderId="17" xfId="1" applyNumberFormat="1" applyFont="1" applyFill="1" applyBorder="1" applyAlignment="1">
      <alignment horizontal="center" vertical="center"/>
    </xf>
    <xf numFmtId="0" fontId="3" fillId="5" borderId="62" xfId="0" applyFont="1" applyFill="1" applyBorder="1" applyAlignment="1">
      <alignment horizontal="center" vertical="center"/>
    </xf>
    <xf numFmtId="0" fontId="3" fillId="5" borderId="38" xfId="0" applyFont="1" applyFill="1" applyBorder="1" applyAlignment="1">
      <alignment horizontal="center" vertical="center"/>
    </xf>
    <xf numFmtId="0" fontId="3" fillId="0" borderId="45" xfId="0" applyFont="1" applyBorder="1" applyAlignment="1">
      <alignment horizontal="center" vertical="center"/>
    </xf>
    <xf numFmtId="0" fontId="3" fillId="0" borderId="3" xfId="0" applyFont="1" applyBorder="1" applyAlignment="1">
      <alignment horizontal="center" vertical="center"/>
    </xf>
    <xf numFmtId="181" fontId="6" fillId="0" borderId="63" xfId="0" applyNumberFormat="1" applyFont="1" applyBorder="1" applyAlignment="1">
      <alignment horizontal="right" vertical="center"/>
    </xf>
    <xf numFmtId="181" fontId="6" fillId="0" borderId="16" xfId="0" applyNumberFormat="1" applyFont="1" applyBorder="1" applyAlignment="1">
      <alignment horizontal="right"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20" xfId="0" applyFont="1" applyBorder="1" applyAlignment="1">
      <alignment horizontal="center" vertical="center"/>
    </xf>
    <xf numFmtId="0" fontId="3" fillId="0" borderId="6" xfId="0" applyFont="1" applyBorder="1" applyAlignment="1">
      <alignment horizontal="center" vertical="center"/>
    </xf>
    <xf numFmtId="0" fontId="3" fillId="0" borderId="21" xfId="0" applyFont="1" applyBorder="1" applyAlignment="1">
      <alignment horizontal="center" vertical="center"/>
    </xf>
    <xf numFmtId="0" fontId="3" fillId="0" borderId="8" xfId="0" applyFont="1" applyBorder="1" applyAlignment="1">
      <alignment horizontal="center" vertical="center"/>
    </xf>
    <xf numFmtId="0" fontId="6" fillId="0" borderId="8" xfId="0" applyFont="1" applyBorder="1" applyAlignment="1">
      <alignment horizontal="right" vertical="center"/>
    </xf>
    <xf numFmtId="0" fontId="6" fillId="0" borderId="5" xfId="0" applyFont="1" applyBorder="1" applyAlignment="1">
      <alignment horizontal="right" vertical="center"/>
    </xf>
    <xf numFmtId="0" fontId="9" fillId="0" borderId="5" xfId="0" applyFont="1" applyBorder="1" applyAlignment="1">
      <alignment horizontal="center" vertical="center"/>
    </xf>
    <xf numFmtId="0" fontId="9" fillId="0" borderId="68" xfId="0" applyFont="1" applyBorder="1" applyAlignment="1">
      <alignment horizontal="center" vertical="center"/>
    </xf>
    <xf numFmtId="0" fontId="6" fillId="0" borderId="43" xfId="0" applyFont="1" applyBorder="1" applyAlignment="1">
      <alignment horizontal="right" vertical="center"/>
    </xf>
    <xf numFmtId="180" fontId="3" fillId="0" borderId="75" xfId="0" applyNumberFormat="1" applyFont="1" applyFill="1" applyBorder="1" applyAlignment="1" applyProtection="1">
      <alignment horizontal="center" vertical="center"/>
    </xf>
    <xf numFmtId="180" fontId="3" fillId="0" borderId="80" xfId="0" applyNumberFormat="1" applyFont="1" applyFill="1" applyBorder="1" applyAlignment="1" applyProtection="1">
      <alignment horizontal="center" vertical="center"/>
    </xf>
    <xf numFmtId="0" fontId="7" fillId="3" borderId="58" xfId="0" applyFont="1" applyFill="1" applyBorder="1" applyAlignment="1" applyProtection="1">
      <alignment vertical="center"/>
      <protection locked="0"/>
    </xf>
    <xf numFmtId="0" fontId="8" fillId="3" borderId="59" xfId="0" applyFont="1" applyFill="1" applyBorder="1" applyAlignment="1" applyProtection="1">
      <alignment vertical="center"/>
      <protection locked="0"/>
    </xf>
    <xf numFmtId="0" fontId="7" fillId="3" borderId="98" xfId="0" applyFont="1" applyFill="1" applyBorder="1" applyAlignment="1" applyProtection="1">
      <alignment horizontal="center" vertical="center" shrinkToFit="1"/>
      <protection locked="0"/>
    </xf>
    <xf numFmtId="0" fontId="7" fillId="3" borderId="95" xfId="0" applyFont="1" applyFill="1" applyBorder="1" applyAlignment="1" applyProtection="1">
      <alignment horizontal="center" vertical="center" shrinkToFit="1"/>
      <protection locked="0"/>
    </xf>
    <xf numFmtId="0" fontId="7" fillId="3" borderId="96" xfId="0" applyFont="1" applyFill="1" applyBorder="1" applyAlignment="1" applyProtection="1">
      <alignment horizontal="center" vertical="center" shrinkToFit="1"/>
      <protection locked="0"/>
    </xf>
    <xf numFmtId="0" fontId="7" fillId="3" borderId="75" xfId="0" applyFont="1" applyFill="1" applyBorder="1" applyAlignment="1" applyProtection="1">
      <alignment horizontal="center" vertical="center" shrinkToFit="1"/>
      <protection locked="0"/>
    </xf>
    <xf numFmtId="0" fontId="7" fillId="3" borderId="75" xfId="0" applyFont="1" applyFill="1" applyBorder="1" applyAlignment="1" applyProtection="1">
      <alignment horizontal="center" vertical="center"/>
      <protection locked="0"/>
    </xf>
    <xf numFmtId="0" fontId="7" fillId="3" borderId="54" xfId="0" applyFont="1" applyFill="1" applyBorder="1" applyAlignment="1" applyProtection="1">
      <alignment horizontal="center" vertical="center"/>
      <protection locked="0"/>
    </xf>
    <xf numFmtId="0" fontId="7" fillId="3" borderId="57" xfId="0" applyFont="1" applyFill="1" applyBorder="1" applyAlignment="1" applyProtection="1">
      <alignment horizontal="center" vertical="center"/>
      <protection locked="0"/>
    </xf>
    <xf numFmtId="0" fontId="7" fillId="3" borderId="58" xfId="0" applyFont="1" applyFill="1" applyBorder="1" applyAlignment="1" applyProtection="1">
      <alignment horizontal="center" vertical="center"/>
      <protection locked="0"/>
    </xf>
    <xf numFmtId="0" fontId="7" fillId="3" borderId="59" xfId="0" applyFont="1" applyFill="1" applyBorder="1" applyAlignment="1" applyProtection="1">
      <alignment horizontal="center" vertical="center"/>
      <protection locked="0"/>
    </xf>
    <xf numFmtId="0" fontId="7" fillId="3" borderId="51" xfId="0" applyFont="1" applyFill="1" applyBorder="1" applyAlignment="1" applyProtection="1">
      <alignment horizontal="center" vertical="center"/>
      <protection locked="0"/>
    </xf>
    <xf numFmtId="0" fontId="7" fillId="3" borderId="60" xfId="0" applyFont="1" applyFill="1" applyBorder="1" applyAlignment="1" applyProtection="1">
      <alignment horizontal="center" vertical="center"/>
      <protection locked="0"/>
    </xf>
    <xf numFmtId="0" fontId="3" fillId="3" borderId="79" xfId="0" applyFont="1" applyFill="1" applyBorder="1" applyAlignment="1" applyProtection="1">
      <alignment horizontal="center" vertical="center"/>
      <protection locked="0"/>
    </xf>
    <xf numFmtId="0" fontId="3" fillId="3" borderId="125" xfId="0" applyFont="1" applyFill="1" applyBorder="1" applyAlignment="1" applyProtection="1">
      <alignment horizontal="center" vertical="center"/>
      <protection locked="0"/>
    </xf>
    <xf numFmtId="2" fontId="7" fillId="6" borderId="79" xfId="1" applyNumberFormat="1" applyFont="1" applyFill="1" applyBorder="1" applyAlignment="1" applyProtection="1">
      <alignment horizontal="center" vertical="center"/>
      <protection locked="0"/>
    </xf>
    <xf numFmtId="2" fontId="7" fillId="6" borderId="97" xfId="1" applyNumberFormat="1" applyFont="1" applyFill="1" applyBorder="1" applyAlignment="1" applyProtection="1">
      <alignment horizontal="center" vertical="center"/>
      <protection locked="0"/>
    </xf>
    <xf numFmtId="2" fontId="7" fillId="6" borderId="91" xfId="1" applyNumberFormat="1" applyFont="1" applyFill="1" applyBorder="1" applyAlignment="1" applyProtection="1">
      <alignment horizontal="center" vertical="center"/>
      <protection locked="0"/>
    </xf>
    <xf numFmtId="2" fontId="7" fillId="6" borderId="59" xfId="1" applyNumberFormat="1" applyFont="1" applyFill="1" applyBorder="1" applyAlignment="1" applyProtection="1">
      <alignment horizontal="center" vertical="center"/>
      <protection locked="0"/>
    </xf>
    <xf numFmtId="180" fontId="3" fillId="0" borderId="79" xfId="0" applyNumberFormat="1" applyFont="1" applyFill="1" applyBorder="1" applyAlignment="1" applyProtection="1">
      <alignment horizontal="center" vertical="center"/>
    </xf>
    <xf numFmtId="180" fontId="3" fillId="0" borderId="59" xfId="0" applyNumberFormat="1" applyFont="1" applyFill="1" applyBorder="1" applyAlignment="1" applyProtection="1">
      <alignment horizontal="center" vertical="center"/>
    </xf>
    <xf numFmtId="2" fontId="6" fillId="0" borderId="0" xfId="0" applyNumberFormat="1" applyFont="1" applyFill="1" applyAlignment="1">
      <alignment horizontal="center" vertical="center"/>
    </xf>
    <xf numFmtId="0" fontId="3" fillId="0" borderId="29"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7"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179" fontId="3" fillId="0" borderId="27" xfId="0" applyNumberFormat="1" applyFont="1" applyFill="1" applyBorder="1" applyAlignment="1" applyProtection="1">
      <alignment horizontal="center" vertical="center"/>
    </xf>
    <xf numFmtId="179" fontId="3" fillId="0" borderId="28" xfId="0" applyNumberFormat="1" applyFont="1" applyFill="1" applyBorder="1" applyAlignment="1" applyProtection="1">
      <alignment horizontal="center" vertical="center"/>
    </xf>
    <xf numFmtId="0" fontId="3" fillId="0" borderId="102"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104" xfId="0" applyFont="1" applyFill="1" applyBorder="1" applyAlignment="1">
      <alignment horizontal="center" vertical="center"/>
    </xf>
    <xf numFmtId="0" fontId="3" fillId="0" borderId="24" xfId="0" applyFont="1" applyFill="1" applyBorder="1" applyAlignment="1">
      <alignment horizontal="center" vertical="center"/>
    </xf>
    <xf numFmtId="38" fontId="3" fillId="0" borderId="105" xfId="1" applyFont="1" applyFill="1" applyBorder="1" applyAlignment="1">
      <alignment horizontal="center" vertical="center"/>
    </xf>
    <xf numFmtId="38" fontId="3" fillId="0" borderId="106" xfId="1" applyFont="1" applyFill="1" applyBorder="1" applyAlignment="1">
      <alignment horizontal="center" vertical="center"/>
    </xf>
    <xf numFmtId="38" fontId="3" fillId="0" borderId="47" xfId="1" applyFont="1" applyFill="1" applyBorder="1" applyAlignment="1">
      <alignment horizontal="center" vertical="center"/>
    </xf>
    <xf numFmtId="38" fontId="3" fillId="0" borderId="107" xfId="1" applyFont="1" applyFill="1" applyBorder="1" applyAlignment="1">
      <alignment horizontal="center" vertical="center"/>
    </xf>
    <xf numFmtId="0" fontId="3" fillId="0" borderId="108" xfId="0" applyFont="1" applyFill="1" applyBorder="1" applyAlignment="1">
      <alignment horizontal="center" vertical="center"/>
    </xf>
    <xf numFmtId="0" fontId="3" fillId="0" borderId="10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105" xfId="0" applyFont="1" applyFill="1" applyBorder="1" applyAlignment="1">
      <alignment horizontal="center" vertical="center" wrapText="1"/>
    </xf>
    <xf numFmtId="0" fontId="3" fillId="0" borderId="10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107"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44" xfId="0" applyFont="1" applyFill="1" applyBorder="1" applyAlignment="1">
      <alignment horizontal="center" vertical="center"/>
    </xf>
    <xf numFmtId="0" fontId="3" fillId="0" borderId="81"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10" xfId="0" applyFont="1" applyFill="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Fill="1" applyBorder="1" applyAlignment="1">
      <alignment horizontal="center" vertical="center"/>
    </xf>
    <xf numFmtId="0" fontId="3" fillId="0" borderId="43"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0" xfId="0" applyFont="1" applyFill="1" applyAlignment="1">
      <alignment horizontal="center" vertical="center"/>
    </xf>
    <xf numFmtId="0" fontId="3" fillId="3" borderId="40" xfId="0" applyFont="1" applyFill="1" applyBorder="1" applyAlignment="1" applyProtection="1">
      <alignment horizontal="center" vertical="center"/>
      <protection locked="0"/>
    </xf>
    <xf numFmtId="0" fontId="3" fillId="3" borderId="52" xfId="0" applyFont="1" applyFill="1" applyBorder="1" applyAlignment="1" applyProtection="1">
      <alignment horizontal="center" vertical="center"/>
      <protection locked="0"/>
    </xf>
    <xf numFmtId="0" fontId="3" fillId="0" borderId="47" xfId="0" applyFont="1" applyFill="1" applyBorder="1" applyAlignment="1">
      <alignment horizontal="center" vertical="center"/>
    </xf>
    <xf numFmtId="0" fontId="3" fillId="0" borderId="100" xfId="0" applyFont="1" applyFill="1" applyBorder="1" applyAlignment="1">
      <alignment horizontal="center" vertical="center"/>
    </xf>
    <xf numFmtId="0" fontId="3" fillId="0" borderId="101" xfId="0" applyFont="1" applyFill="1" applyBorder="1" applyAlignment="1">
      <alignment horizontal="center" vertical="center"/>
    </xf>
    <xf numFmtId="180" fontId="3" fillId="0" borderId="20" xfId="0" applyNumberFormat="1" applyFont="1" applyFill="1" applyBorder="1" applyAlignment="1" applyProtection="1">
      <alignment horizontal="center" vertical="center"/>
    </xf>
    <xf numFmtId="2" fontId="7" fillId="6" borderId="40" xfId="1" applyNumberFormat="1" applyFont="1" applyFill="1" applyBorder="1" applyAlignment="1" applyProtection="1">
      <alignment horizontal="center" vertical="center"/>
      <protection locked="0"/>
    </xf>
    <xf numFmtId="2" fontId="7" fillId="6" borderId="52" xfId="1" applyNumberFormat="1" applyFont="1" applyFill="1" applyBorder="1" applyAlignment="1" applyProtection="1">
      <alignment horizontal="center" vertical="center"/>
      <protection locked="0"/>
    </xf>
    <xf numFmtId="2" fontId="7" fillId="6" borderId="88" xfId="1" applyNumberFormat="1" applyFont="1" applyFill="1" applyBorder="1" applyAlignment="1" applyProtection="1">
      <alignment horizontal="center" vertical="center"/>
      <protection locked="0"/>
    </xf>
    <xf numFmtId="2" fontId="7" fillId="6" borderId="99" xfId="1" applyNumberFormat="1" applyFont="1" applyFill="1" applyBorder="1" applyAlignment="1" applyProtection="1">
      <alignment horizontal="center" vertical="center"/>
      <protection locked="0"/>
    </xf>
    <xf numFmtId="2" fontId="7" fillId="6" borderId="60" xfId="1" applyNumberFormat="1" applyFont="1" applyFill="1" applyBorder="1" applyAlignment="1" applyProtection="1">
      <alignment horizontal="center" vertical="center"/>
      <protection locked="0"/>
    </xf>
    <xf numFmtId="180" fontId="3" fillId="0" borderId="84" xfId="0" applyNumberFormat="1" applyFont="1" applyFill="1" applyBorder="1" applyAlignment="1" applyProtection="1">
      <alignment horizontal="center" vertical="center"/>
    </xf>
    <xf numFmtId="0" fontId="7" fillId="3" borderId="51" xfId="0" applyFont="1" applyFill="1" applyBorder="1" applyAlignment="1" applyProtection="1">
      <alignment vertical="center"/>
      <protection locked="0"/>
    </xf>
    <xf numFmtId="0" fontId="8" fillId="3" borderId="60" xfId="0" applyFont="1" applyFill="1" applyBorder="1" applyAlignment="1" applyProtection="1">
      <alignment vertical="center"/>
      <protection locked="0"/>
    </xf>
    <xf numFmtId="0" fontId="7" fillId="3" borderId="99" xfId="0" applyFont="1" applyFill="1" applyBorder="1" applyAlignment="1" applyProtection="1">
      <alignment horizontal="center" vertical="center" shrinkToFit="1"/>
      <protection locked="0"/>
    </xf>
    <xf numFmtId="0" fontId="7" fillId="3" borderId="87" xfId="0" applyFont="1" applyFill="1" applyBorder="1" applyAlignment="1" applyProtection="1">
      <alignment horizontal="center" vertical="center" shrinkToFit="1"/>
      <protection locked="0"/>
    </xf>
    <xf numFmtId="0" fontId="7" fillId="3" borderId="88" xfId="0" applyFont="1" applyFill="1" applyBorder="1" applyAlignment="1" applyProtection="1">
      <alignment horizontal="center" vertical="center" shrinkToFit="1"/>
      <protection locked="0"/>
    </xf>
    <xf numFmtId="0" fontId="7" fillId="3" borderId="40" xfId="0" applyFont="1" applyFill="1" applyBorder="1" applyAlignment="1" applyProtection="1">
      <alignment horizontal="center" vertical="center" shrinkToFit="1"/>
      <protection locked="0"/>
    </xf>
    <xf numFmtId="0" fontId="7" fillId="3" borderId="49" xfId="0" applyFont="1" applyFill="1" applyBorder="1" applyAlignment="1" applyProtection="1">
      <alignment horizontal="center" vertical="center"/>
      <protection locked="0"/>
    </xf>
    <xf numFmtId="2" fontId="7" fillId="6" borderId="75" xfId="1" applyNumberFormat="1" applyFont="1" applyFill="1" applyBorder="1" applyAlignment="1" applyProtection="1">
      <alignment horizontal="center" vertical="center"/>
      <protection locked="0"/>
    </xf>
    <xf numFmtId="2" fontId="7" fillId="6" borderId="96" xfId="1" applyNumberFormat="1" applyFont="1" applyFill="1" applyBorder="1" applyAlignment="1" applyProtection="1">
      <alignment horizontal="center" vertical="center"/>
      <protection locked="0"/>
    </xf>
    <xf numFmtId="2" fontId="7" fillId="6" borderId="98" xfId="1" applyNumberFormat="1" applyFont="1" applyFill="1" applyBorder="1" applyAlignment="1" applyProtection="1">
      <alignment horizontal="center" vertical="center"/>
      <protection locked="0"/>
    </xf>
    <xf numFmtId="0" fontId="3" fillId="3" borderId="55" xfId="0" applyFont="1" applyFill="1" applyBorder="1" applyAlignment="1" applyProtection="1">
      <alignment horizontal="center" vertical="center"/>
      <protection locked="0"/>
    </xf>
    <xf numFmtId="0" fontId="3" fillId="3" borderId="74" xfId="0" applyFont="1" applyFill="1" applyBorder="1" applyAlignment="1" applyProtection="1">
      <alignment horizontal="center" vertical="center"/>
      <protection locked="0"/>
    </xf>
    <xf numFmtId="2" fontId="7" fillId="6" borderId="41" xfId="1" applyNumberFormat="1" applyFont="1" applyFill="1" applyBorder="1" applyAlignment="1" applyProtection="1">
      <alignment horizontal="center" vertical="center"/>
      <protection locked="0"/>
    </xf>
    <xf numFmtId="2" fontId="7" fillId="6" borderId="55" xfId="1" applyNumberFormat="1" applyFont="1" applyFill="1" applyBorder="1" applyAlignment="1" applyProtection="1">
      <alignment horizontal="center" vertical="center"/>
      <protection locked="0"/>
    </xf>
    <xf numFmtId="2" fontId="7" fillId="6" borderId="86" xfId="1" applyNumberFormat="1" applyFont="1" applyFill="1" applyBorder="1" applyAlignment="1" applyProtection="1">
      <alignment horizontal="center" vertical="center"/>
      <protection locked="0"/>
    </xf>
    <xf numFmtId="2" fontId="7" fillId="6" borderId="89" xfId="1" applyNumberFormat="1" applyFont="1" applyFill="1" applyBorder="1" applyAlignment="1" applyProtection="1">
      <alignment horizontal="center" vertical="center"/>
      <protection locked="0"/>
    </xf>
    <xf numFmtId="2" fontId="7" fillId="6" borderId="57" xfId="1" applyNumberFormat="1" applyFont="1" applyFill="1" applyBorder="1" applyAlignment="1" applyProtection="1">
      <alignment horizontal="center" vertical="center"/>
      <protection locked="0"/>
    </xf>
    <xf numFmtId="0" fontId="7" fillId="3" borderId="41" xfId="0" applyFont="1" applyFill="1" applyBorder="1" applyAlignment="1" applyProtection="1">
      <alignment horizontal="center" vertical="center" shrinkToFit="1"/>
      <protection locked="0"/>
    </xf>
    <xf numFmtId="0" fontId="7" fillId="3" borderId="85" xfId="0" applyFont="1" applyFill="1" applyBorder="1" applyAlignment="1" applyProtection="1">
      <alignment horizontal="center" vertical="center" shrinkToFit="1"/>
      <protection locked="0"/>
    </xf>
    <xf numFmtId="0" fontId="7" fillId="3" borderId="86" xfId="0" applyFont="1" applyFill="1" applyBorder="1" applyAlignment="1" applyProtection="1">
      <alignment horizontal="center" vertical="center" shrinkToFit="1"/>
      <protection locked="0"/>
    </xf>
    <xf numFmtId="38" fontId="3" fillId="0" borderId="24" xfId="1" applyFont="1" applyFill="1" applyBorder="1" applyAlignment="1">
      <alignment horizontal="center" vertical="center"/>
    </xf>
    <xf numFmtId="38" fontId="3" fillId="0" borderId="63" xfId="1" applyFont="1" applyFill="1" applyBorder="1" applyAlignment="1">
      <alignment horizontal="center" vertical="center"/>
    </xf>
    <xf numFmtId="0" fontId="3" fillId="0" borderId="90" xfId="0" applyFont="1" applyFill="1" applyBorder="1" applyAlignment="1">
      <alignment horizontal="center" vertical="center"/>
    </xf>
    <xf numFmtId="180" fontId="3" fillId="0" borderId="49" xfId="0" applyNumberFormat="1" applyFont="1" applyFill="1" applyBorder="1" applyAlignment="1" applyProtection="1">
      <alignment horizontal="center" vertical="center"/>
    </xf>
    <xf numFmtId="180" fontId="3" fillId="0" borderId="81" xfId="0" applyNumberFormat="1" applyFont="1" applyFill="1" applyBorder="1" applyAlignment="1" applyProtection="1">
      <alignment horizontal="center" vertical="center"/>
    </xf>
    <xf numFmtId="0" fontId="8" fillId="0" borderId="29" xfId="0" applyFont="1" applyFill="1" applyBorder="1" applyAlignment="1">
      <alignment horizontal="center" vertical="center"/>
    </xf>
    <xf numFmtId="0" fontId="8" fillId="0" borderId="27" xfId="0" applyFont="1" applyFill="1" applyBorder="1" applyAlignment="1">
      <alignment horizontal="center" vertical="center"/>
    </xf>
    <xf numFmtId="180" fontId="3" fillId="0" borderId="82" xfId="0" applyNumberFormat="1" applyFont="1" applyFill="1" applyBorder="1" applyAlignment="1" applyProtection="1">
      <alignment horizontal="center" vertical="center"/>
    </xf>
    <xf numFmtId="180" fontId="3" fillId="0" borderId="83" xfId="0" applyNumberFormat="1" applyFont="1" applyFill="1" applyBorder="1" applyAlignment="1" applyProtection="1">
      <alignment horizontal="center" vertical="center"/>
    </xf>
    <xf numFmtId="0" fontId="7" fillId="3" borderId="54" xfId="0" applyFont="1" applyFill="1" applyBorder="1" applyAlignment="1" applyProtection="1">
      <alignment vertical="center"/>
      <protection locked="0"/>
    </xf>
    <xf numFmtId="0" fontId="8" fillId="3" borderId="57" xfId="0" applyFont="1" applyFill="1" applyBorder="1" applyAlignment="1" applyProtection="1">
      <alignment vertical="center"/>
      <protection locked="0"/>
    </xf>
    <xf numFmtId="0" fontId="7" fillId="3" borderId="89" xfId="0" applyFont="1" applyFill="1" applyBorder="1" applyAlignment="1" applyProtection="1">
      <alignment horizontal="center" vertical="center" shrinkToFit="1"/>
      <protection locked="0"/>
    </xf>
    <xf numFmtId="0" fontId="4" fillId="0" borderId="61" xfId="0" applyFont="1" applyFill="1" applyBorder="1" applyAlignment="1">
      <alignment horizontal="center" vertical="center" textRotation="255"/>
    </xf>
    <xf numFmtId="0" fontId="4" fillId="0" borderId="6" xfId="0" applyFont="1" applyFill="1" applyBorder="1" applyAlignment="1">
      <alignment horizontal="center" vertical="center" textRotation="255"/>
    </xf>
    <xf numFmtId="0" fontId="4" fillId="0" borderId="36" xfId="0"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0" fontId="4" fillId="0" borderId="45" xfId="0" applyFont="1" applyFill="1" applyBorder="1" applyAlignment="1">
      <alignment horizontal="center" vertical="center" textRotation="255"/>
    </xf>
    <xf numFmtId="0" fontId="4" fillId="0" borderId="3" xfId="0" applyFont="1" applyFill="1" applyBorder="1" applyAlignment="1">
      <alignment horizontal="center" vertical="center" textRotation="255"/>
    </xf>
    <xf numFmtId="0" fontId="3" fillId="0" borderId="9" xfId="0" applyFont="1" applyFill="1" applyBorder="1" applyAlignment="1">
      <alignment vertical="center"/>
    </xf>
    <xf numFmtId="0" fontId="3" fillId="0" borderId="4" xfId="0" applyFont="1" applyFill="1" applyBorder="1" applyAlignment="1">
      <alignment vertical="center"/>
    </xf>
    <xf numFmtId="0" fontId="3" fillId="0" borderId="23" xfId="0" applyFont="1" applyFill="1" applyBorder="1" applyAlignment="1">
      <alignment vertical="center"/>
    </xf>
    <xf numFmtId="180" fontId="3" fillId="0" borderId="4" xfId="0" applyNumberFormat="1" applyFont="1" applyFill="1" applyBorder="1" applyAlignment="1" applyProtection="1">
      <alignment horizontal="center" vertical="center"/>
    </xf>
    <xf numFmtId="180" fontId="3" fillId="0" borderId="5" xfId="0" applyNumberFormat="1" applyFont="1" applyFill="1" applyBorder="1" applyAlignment="1" applyProtection="1">
      <alignment horizontal="center" vertical="center"/>
    </xf>
    <xf numFmtId="180" fontId="26" fillId="0" borderId="5" xfId="0" applyNumberFormat="1" applyFont="1" applyFill="1" applyBorder="1" applyAlignment="1" applyProtection="1">
      <alignment horizontal="center" vertical="center"/>
    </xf>
    <xf numFmtId="0" fontId="3" fillId="0" borderId="5" xfId="0" applyFont="1" applyFill="1" applyBorder="1" applyAlignment="1" applyProtection="1">
      <alignment vertical="center"/>
    </xf>
    <xf numFmtId="180" fontId="9" fillId="0" borderId="5" xfId="0" applyNumberFormat="1" applyFont="1" applyFill="1" applyBorder="1" applyAlignment="1" applyProtection="1">
      <alignment horizontal="center" vertical="center"/>
    </xf>
    <xf numFmtId="0" fontId="3" fillId="0" borderId="8" xfId="0" applyFont="1" applyFill="1" applyBorder="1" applyAlignment="1">
      <alignment vertical="center"/>
    </xf>
    <xf numFmtId="0" fontId="3" fillId="0" borderId="5" xfId="0" applyFont="1" applyFill="1" applyBorder="1" applyAlignment="1">
      <alignment vertical="center"/>
    </xf>
    <xf numFmtId="0" fontId="3" fillId="0" borderId="19" xfId="0" applyFont="1" applyFill="1" applyBorder="1" applyAlignment="1">
      <alignment vertical="center"/>
    </xf>
    <xf numFmtId="0" fontId="3" fillId="0" borderId="7"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180" fontId="3" fillId="0" borderId="16" xfId="0" applyNumberFormat="1" applyFont="1" applyFill="1" applyBorder="1" applyAlignment="1" applyProtection="1">
      <alignment horizontal="center" vertical="center"/>
    </xf>
    <xf numFmtId="182" fontId="3" fillId="0" borderId="79" xfId="0" applyNumberFormat="1" applyFont="1" applyFill="1" applyBorder="1" applyAlignment="1" applyProtection="1">
      <alignment horizontal="center" vertical="center"/>
    </xf>
    <xf numFmtId="182" fontId="3" fillId="0" borderId="59" xfId="0" applyNumberFormat="1" applyFont="1" applyFill="1" applyBorder="1" applyAlignment="1" applyProtection="1">
      <alignment horizontal="center" vertical="center"/>
    </xf>
    <xf numFmtId="0" fontId="7" fillId="3" borderId="79" xfId="0" applyFont="1" applyFill="1" applyBorder="1" applyAlignment="1" applyProtection="1">
      <alignment horizontal="center" vertical="center" shrinkToFit="1"/>
      <protection locked="0"/>
    </xf>
    <xf numFmtId="0" fontId="7" fillId="3" borderId="59" xfId="0" applyFont="1" applyFill="1" applyBorder="1" applyAlignment="1" applyProtection="1">
      <alignment horizontal="center" vertical="center" shrinkToFit="1"/>
      <protection locked="0"/>
    </xf>
    <xf numFmtId="0" fontId="7" fillId="3" borderId="52" xfId="0" applyFont="1" applyFill="1" applyBorder="1" applyAlignment="1" applyProtection="1">
      <alignment horizontal="center" vertical="center" shrinkToFit="1"/>
      <protection locked="0"/>
    </xf>
    <xf numFmtId="0" fontId="7" fillId="3" borderId="60" xfId="0" applyFont="1" applyFill="1" applyBorder="1" applyAlignment="1" applyProtection="1">
      <alignment horizontal="center" vertical="center" shrinkToFit="1"/>
      <protection locked="0"/>
    </xf>
    <xf numFmtId="182" fontId="3" fillId="0" borderId="52" xfId="0" applyNumberFormat="1" applyFont="1" applyFill="1" applyBorder="1" applyAlignment="1" applyProtection="1">
      <alignment horizontal="center" vertical="center"/>
    </xf>
    <xf numFmtId="182" fontId="3" fillId="0" borderId="60" xfId="0" applyNumberFormat="1" applyFont="1" applyFill="1" applyBorder="1" applyAlignment="1" applyProtection="1">
      <alignment horizontal="center" vertical="center"/>
    </xf>
    <xf numFmtId="0" fontId="7" fillId="3" borderId="20" xfId="0" applyFont="1" applyFill="1" applyBorder="1" applyAlignment="1" applyProtection="1">
      <alignment horizontal="center" vertical="center" shrinkToFit="1"/>
      <protection locked="0"/>
    </xf>
    <xf numFmtId="0" fontId="21" fillId="0" borderId="76" xfId="0" applyFont="1" applyFill="1" applyBorder="1" applyAlignment="1">
      <alignment horizontal="center" vertical="center" wrapText="1"/>
    </xf>
    <xf numFmtId="0" fontId="21" fillId="0" borderId="70" xfId="0" applyFont="1" applyFill="1" applyBorder="1" applyAlignment="1">
      <alignment horizontal="center" vertical="center" wrapText="1"/>
    </xf>
    <xf numFmtId="0" fontId="21" fillId="0" borderId="47" xfId="0" applyFont="1" applyFill="1" applyBorder="1" applyAlignment="1">
      <alignment horizontal="center" vertical="center" wrapText="1"/>
    </xf>
    <xf numFmtId="0" fontId="21" fillId="0" borderId="71" xfId="0" applyFont="1" applyFill="1" applyBorder="1" applyAlignment="1">
      <alignment horizontal="center" vertical="center" wrapText="1"/>
    </xf>
    <xf numFmtId="180" fontId="3" fillId="0" borderId="77" xfId="0" applyNumberFormat="1" applyFont="1" applyFill="1" applyBorder="1" applyAlignment="1" applyProtection="1">
      <alignment horizontal="center" vertical="center"/>
    </xf>
    <xf numFmtId="180" fontId="3" fillId="0" borderId="78" xfId="0" applyNumberFormat="1" applyFont="1" applyFill="1" applyBorder="1" applyAlignment="1" applyProtection="1">
      <alignment horizontal="center" vertical="center"/>
    </xf>
    <xf numFmtId="0" fontId="7" fillId="3" borderId="55" xfId="0" applyFont="1" applyFill="1" applyBorder="1" applyAlignment="1" applyProtection="1">
      <alignment horizontal="center" vertical="center" shrinkToFit="1"/>
      <protection locked="0"/>
    </xf>
    <xf numFmtId="0" fontId="7" fillId="3" borderId="57" xfId="0" applyFont="1" applyFill="1" applyBorder="1" applyAlignment="1" applyProtection="1">
      <alignment horizontal="center" vertical="center" shrinkToFit="1"/>
      <protection locked="0"/>
    </xf>
    <xf numFmtId="182" fontId="3" fillId="0" borderId="55" xfId="0" applyNumberFormat="1" applyFont="1" applyFill="1" applyBorder="1" applyAlignment="1" applyProtection="1">
      <alignment horizontal="center" vertical="center"/>
    </xf>
    <xf numFmtId="182" fontId="3" fillId="0" borderId="57" xfId="0" applyNumberFormat="1" applyFont="1" applyFill="1" applyBorder="1" applyAlignment="1" applyProtection="1">
      <alignment horizontal="center" vertical="center"/>
    </xf>
    <xf numFmtId="0" fontId="7" fillId="3" borderId="49" xfId="0" applyFont="1" applyFill="1" applyBorder="1" applyAlignment="1" applyProtection="1">
      <alignment horizontal="center" vertical="center" shrinkToFit="1"/>
      <protection locked="0"/>
    </xf>
    <xf numFmtId="180" fontId="3" fillId="0" borderId="41" xfId="0" applyNumberFormat="1" applyFont="1" applyFill="1" applyBorder="1" applyAlignment="1" applyProtection="1">
      <alignment horizontal="center" vertical="center"/>
    </xf>
    <xf numFmtId="180" fontId="3" fillId="0" borderId="56" xfId="0" applyNumberFormat="1" applyFont="1" applyFill="1" applyBorder="1" applyAlignment="1" applyProtection="1">
      <alignment horizontal="center" vertical="center"/>
    </xf>
    <xf numFmtId="0" fontId="3" fillId="0" borderId="61"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45" xfId="0" applyFont="1" applyFill="1" applyBorder="1" applyAlignment="1">
      <alignment horizontal="center" vertical="center"/>
    </xf>
    <xf numFmtId="0" fontId="8" fillId="0" borderId="72" xfId="0" applyFont="1" applyFill="1" applyBorder="1" applyAlignment="1">
      <alignment horizontal="center" vertical="center"/>
    </xf>
    <xf numFmtId="0" fontId="3" fillId="0" borderId="6" xfId="0" applyFont="1" applyFill="1" applyBorder="1" applyAlignment="1">
      <alignment horizontal="center" vertical="center"/>
    </xf>
    <xf numFmtId="0" fontId="7" fillId="3" borderId="73" xfId="0" applyFont="1" applyFill="1" applyBorder="1" applyAlignment="1" applyProtection="1">
      <alignment horizontal="center" vertical="center"/>
      <protection locked="0"/>
    </xf>
    <xf numFmtId="0" fontId="7" fillId="3" borderId="74" xfId="0" applyFont="1" applyFill="1" applyBorder="1" applyAlignment="1" applyProtection="1">
      <alignment horizontal="center" vertical="center"/>
      <protection locked="0"/>
    </xf>
    <xf numFmtId="0" fontId="9" fillId="0" borderId="76"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7"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3" fillId="0" borderId="76"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21" fillId="0" borderId="42" xfId="0" applyFont="1" applyFill="1" applyBorder="1" applyAlignment="1">
      <alignment horizontal="center" vertical="center" wrapText="1"/>
    </xf>
    <xf numFmtId="0" fontId="21" fillId="0" borderId="42" xfId="0" applyFont="1" applyFill="1" applyBorder="1" applyAlignment="1">
      <alignment horizontal="center" vertical="center"/>
    </xf>
    <xf numFmtId="0" fontId="21" fillId="0" borderId="24" xfId="0" applyFont="1" applyFill="1" applyBorder="1" applyAlignment="1">
      <alignment horizontal="center" vertical="center"/>
    </xf>
    <xf numFmtId="0" fontId="3" fillId="3" borderId="92" xfId="0" applyFont="1" applyFill="1" applyBorder="1" applyAlignment="1" applyProtection="1">
      <alignment horizontal="center" vertical="center"/>
      <protection locked="0"/>
    </xf>
    <xf numFmtId="0" fontId="3" fillId="3" borderId="97" xfId="0" applyFont="1" applyFill="1" applyBorder="1" applyAlignment="1" applyProtection="1">
      <alignment horizontal="center" vertical="center"/>
      <protection locked="0"/>
    </xf>
    <xf numFmtId="0" fontId="3" fillId="3" borderId="99" xfId="0" applyFont="1" applyFill="1" applyBorder="1" applyAlignment="1" applyProtection="1">
      <alignment horizontal="center" vertical="center"/>
      <protection locked="0"/>
    </xf>
    <xf numFmtId="179" fontId="3" fillId="0" borderId="27" xfId="0" applyNumberFormat="1" applyFont="1" applyFill="1" applyBorder="1" applyAlignment="1">
      <alignment horizontal="center" vertical="center"/>
    </xf>
    <xf numFmtId="179" fontId="3" fillId="0" borderId="28" xfId="0" applyNumberFormat="1" applyFont="1" applyFill="1" applyBorder="1" applyAlignment="1">
      <alignment horizontal="center" vertical="center"/>
    </xf>
    <xf numFmtId="179" fontId="3" fillId="0" borderId="27" xfId="0" applyNumberFormat="1" applyFont="1" applyBorder="1" applyAlignment="1">
      <alignment horizontal="center" vertical="center"/>
    </xf>
    <xf numFmtId="179" fontId="3" fillId="0" borderId="28" xfId="0" applyNumberFormat="1"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pplyProtection="1">
      <alignment horizontal="center" vertical="center"/>
    </xf>
    <xf numFmtId="0" fontId="3" fillId="0" borderId="28" xfId="0" applyFont="1" applyBorder="1" applyAlignment="1" applyProtection="1">
      <alignment horizontal="center" vertical="center"/>
    </xf>
    <xf numFmtId="180" fontId="3" fillId="0" borderId="16" xfId="0" applyNumberFormat="1" applyFont="1" applyBorder="1" applyAlignment="1">
      <alignment horizontal="center" vertical="center"/>
    </xf>
    <xf numFmtId="0" fontId="4" fillId="0" borderId="61" xfId="0" applyFont="1" applyBorder="1" applyAlignment="1">
      <alignment horizontal="center" vertical="center" textRotation="255" shrinkToFit="1"/>
    </xf>
    <xf numFmtId="0" fontId="4" fillId="0" borderId="21"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4" fillId="0" borderId="45"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180" fontId="9" fillId="0" borderId="5" xfId="0" applyNumberFormat="1" applyFont="1" applyBorder="1" applyAlignment="1">
      <alignment horizontal="center" vertical="center"/>
    </xf>
    <xf numFmtId="180" fontId="3" fillId="0" borderId="4" xfId="0" applyNumberFormat="1" applyFont="1" applyBorder="1" applyAlignment="1">
      <alignment horizontal="center" vertical="center"/>
    </xf>
    <xf numFmtId="180" fontId="3" fillId="0" borderId="55" xfId="0" applyNumberFormat="1" applyFont="1" applyBorder="1" applyAlignment="1">
      <alignment horizontal="center" vertical="center"/>
    </xf>
    <xf numFmtId="180" fontId="3" fillId="0" borderId="57" xfId="0" applyNumberFormat="1" applyFont="1" applyBorder="1" applyAlignment="1">
      <alignment horizontal="center" vertical="center"/>
    </xf>
    <xf numFmtId="180" fontId="3" fillId="0" borderId="115" xfId="0" applyNumberFormat="1" applyFont="1" applyBorder="1" applyAlignment="1">
      <alignment horizontal="center" vertical="center"/>
    </xf>
    <xf numFmtId="180" fontId="3" fillId="0" borderId="116" xfId="0" applyNumberFormat="1" applyFont="1" applyBorder="1" applyAlignment="1">
      <alignment horizontal="center" vertical="center"/>
    </xf>
    <xf numFmtId="180" fontId="3" fillId="0" borderId="117" xfId="0" applyNumberFormat="1" applyFont="1" applyBorder="1" applyAlignment="1">
      <alignment horizontal="center" vertical="center"/>
    </xf>
    <xf numFmtId="180" fontId="3" fillId="0" borderId="72" xfId="0" applyNumberFormat="1" applyFont="1" applyBorder="1" applyAlignment="1">
      <alignment horizontal="center" vertical="center"/>
    </xf>
    <xf numFmtId="180" fontId="3" fillId="0" borderId="82" xfId="0" applyNumberFormat="1" applyFont="1" applyBorder="1" applyAlignment="1">
      <alignment horizontal="center" vertical="center"/>
    </xf>
    <xf numFmtId="180" fontId="3" fillId="0" borderId="83" xfId="0" applyNumberFormat="1" applyFont="1" applyBorder="1" applyAlignment="1">
      <alignment horizontal="center" vertical="center"/>
    </xf>
    <xf numFmtId="0" fontId="7" fillId="3" borderId="113" xfId="0" applyFont="1" applyFill="1" applyBorder="1" applyAlignment="1" applyProtection="1">
      <alignment horizontal="center" vertical="center" shrinkToFit="1"/>
      <protection locked="0"/>
    </xf>
    <xf numFmtId="0" fontId="7" fillId="3" borderId="114" xfId="0" applyFont="1" applyFill="1" applyBorder="1" applyAlignment="1" applyProtection="1">
      <alignment horizontal="center" vertical="center" shrinkToFit="1"/>
      <protection locked="0"/>
    </xf>
    <xf numFmtId="180" fontId="3" fillId="2" borderId="55" xfId="0" applyNumberFormat="1" applyFont="1" applyFill="1" applyBorder="1" applyAlignment="1">
      <alignment horizontal="center" vertical="center"/>
    </xf>
    <xf numFmtId="180" fontId="3" fillId="2" borderId="57" xfId="0" applyNumberFormat="1" applyFont="1" applyFill="1" applyBorder="1" applyAlignment="1">
      <alignment horizontal="center" vertical="center"/>
    </xf>
    <xf numFmtId="180" fontId="3" fillId="0" borderId="75" xfId="0" applyNumberFormat="1" applyFont="1" applyBorder="1" applyAlignment="1">
      <alignment horizontal="center" vertical="center"/>
    </xf>
    <xf numFmtId="180" fontId="3" fillId="0" borderId="80" xfId="0" applyNumberFormat="1" applyFont="1" applyBorder="1" applyAlignment="1">
      <alignment horizontal="center" vertical="center"/>
    </xf>
    <xf numFmtId="180" fontId="3" fillId="0" borderId="94" xfId="0" applyNumberFormat="1" applyFont="1" applyBorder="1" applyAlignment="1">
      <alignment horizontal="center" vertical="center"/>
    </xf>
    <xf numFmtId="180" fontId="3" fillId="0" borderId="93" xfId="0" applyNumberFormat="1" applyFont="1" applyBorder="1" applyAlignment="1">
      <alignment horizontal="center" vertical="center"/>
    </xf>
    <xf numFmtId="180" fontId="3" fillId="0" borderId="79" xfId="0" applyNumberFormat="1" applyFont="1" applyBorder="1" applyAlignment="1">
      <alignment horizontal="center" vertical="center"/>
    </xf>
    <xf numFmtId="180" fontId="3" fillId="0" borderId="59" xfId="0" applyNumberFormat="1" applyFont="1" applyBorder="1" applyAlignment="1">
      <alignment horizontal="center" vertical="center"/>
    </xf>
    <xf numFmtId="180" fontId="3" fillId="2" borderId="79" xfId="0" applyNumberFormat="1" applyFont="1" applyFill="1" applyBorder="1" applyAlignment="1">
      <alignment horizontal="center" vertical="center"/>
    </xf>
    <xf numFmtId="180" fontId="3" fillId="2" borderId="59" xfId="0" applyNumberFormat="1" applyFont="1" applyFill="1" applyBorder="1" applyAlignment="1">
      <alignment horizontal="center" vertical="center"/>
    </xf>
    <xf numFmtId="0" fontId="7" fillId="3" borderId="76" xfId="0" applyFont="1" applyFill="1" applyBorder="1" applyAlignment="1" applyProtection="1">
      <alignment horizontal="center" vertical="center" shrinkToFit="1"/>
      <protection locked="0"/>
    </xf>
    <xf numFmtId="0" fontId="7" fillId="3" borderId="70" xfId="0" applyFont="1" applyFill="1" applyBorder="1" applyAlignment="1" applyProtection="1">
      <alignment horizontal="center" vertical="center" shrinkToFit="1"/>
      <protection locked="0"/>
    </xf>
    <xf numFmtId="180" fontId="3" fillId="2" borderId="52" xfId="0" applyNumberFormat="1" applyFont="1" applyFill="1" applyBorder="1" applyAlignment="1">
      <alignment horizontal="center" vertical="center"/>
    </xf>
    <xf numFmtId="180" fontId="3" fillId="2" borderId="60" xfId="0" applyNumberFormat="1" applyFont="1" applyFill="1" applyBorder="1" applyAlignment="1">
      <alignment horizontal="center" vertical="center"/>
    </xf>
    <xf numFmtId="180" fontId="3" fillId="0" borderId="76" xfId="0" applyNumberFormat="1" applyFont="1" applyBorder="1" applyAlignment="1">
      <alignment horizontal="center" vertical="center"/>
    </xf>
    <xf numFmtId="180" fontId="3" fillId="0" borderId="70" xfId="0" applyNumberFormat="1" applyFont="1" applyBorder="1" applyAlignment="1">
      <alignment horizontal="center" vertical="center"/>
    </xf>
    <xf numFmtId="180" fontId="3" fillId="0" borderId="52" xfId="0" applyNumberFormat="1" applyFont="1" applyBorder="1" applyAlignment="1">
      <alignment horizontal="center" vertical="center"/>
    </xf>
    <xf numFmtId="180" fontId="3" fillId="0" borderId="60"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84" xfId="0" applyNumberFormat="1" applyFont="1" applyBorder="1" applyAlignment="1">
      <alignment horizontal="center" vertical="center"/>
    </xf>
    <xf numFmtId="0" fontId="8" fillId="2" borderId="29"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72"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70"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7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42" xfId="0" applyFont="1" applyBorder="1" applyAlignment="1">
      <alignment horizontal="center" vertical="center"/>
    </xf>
    <xf numFmtId="0" fontId="3" fillId="0" borderId="24" xfId="0" applyFont="1" applyBorder="1" applyAlignment="1">
      <alignment horizontal="center" vertical="center"/>
    </xf>
    <xf numFmtId="0" fontId="21" fillId="0" borderId="42" xfId="0" applyFont="1" applyBorder="1" applyAlignment="1">
      <alignment horizontal="center" vertical="center" wrapText="1"/>
    </xf>
    <xf numFmtId="0" fontId="21" fillId="0" borderId="42" xfId="0" applyFont="1" applyBorder="1" applyAlignment="1">
      <alignment horizontal="center" vertical="center"/>
    </xf>
    <xf numFmtId="0" fontId="21" fillId="0" borderId="24" xfId="0" applyFont="1" applyBorder="1" applyAlignment="1">
      <alignment horizontal="center" vertical="center"/>
    </xf>
    <xf numFmtId="0" fontId="3" fillId="2" borderId="76" xfId="0" applyFont="1" applyFill="1" applyBorder="1" applyAlignment="1">
      <alignment horizontal="center" vertical="center"/>
    </xf>
    <xf numFmtId="0" fontId="3" fillId="2" borderId="47" xfId="0" applyFont="1" applyFill="1" applyBorder="1" applyAlignment="1">
      <alignment horizontal="center" vertical="center"/>
    </xf>
    <xf numFmtId="0" fontId="3" fillId="0" borderId="76" xfId="0" applyFont="1" applyBorder="1" applyAlignment="1">
      <alignment horizontal="center" vertical="center" wrapText="1"/>
    </xf>
    <xf numFmtId="0" fontId="3" fillId="0" borderId="70" xfId="0" applyFont="1" applyBorder="1" applyAlignment="1">
      <alignment horizontal="center" vertical="center"/>
    </xf>
    <xf numFmtId="0" fontId="3" fillId="0" borderId="47" xfId="0" applyFont="1" applyBorder="1" applyAlignment="1">
      <alignment horizontal="center" vertical="center"/>
    </xf>
    <xf numFmtId="0" fontId="3" fillId="0" borderId="71" xfId="0" applyFont="1" applyBorder="1" applyAlignment="1">
      <alignment horizontal="center" vertical="center"/>
    </xf>
    <xf numFmtId="0" fontId="3" fillId="0" borderId="44" xfId="0" applyFont="1" applyBorder="1" applyAlignment="1">
      <alignment horizontal="center" vertical="center"/>
    </xf>
    <xf numFmtId="0" fontId="3" fillId="0" borderId="26" xfId="0" applyFont="1" applyBorder="1" applyAlignment="1">
      <alignment horizontal="center" vertical="center"/>
    </xf>
    <xf numFmtId="0" fontId="8" fillId="3" borderId="57" xfId="0" applyFont="1" applyFill="1" applyBorder="1" applyAlignment="1" applyProtection="1">
      <alignment horizontal="center" vertical="center"/>
      <protection locked="0"/>
    </xf>
    <xf numFmtId="180" fontId="3" fillId="0" borderId="49" xfId="0" applyNumberFormat="1" applyFont="1" applyBorder="1" applyAlignment="1">
      <alignment horizontal="center" vertical="center"/>
    </xf>
    <xf numFmtId="180" fontId="3" fillId="0" borderId="41" xfId="0" applyNumberFormat="1" applyFont="1" applyBorder="1" applyAlignment="1">
      <alignment horizontal="center" vertical="center"/>
    </xf>
    <xf numFmtId="0" fontId="8" fillId="3" borderId="59" xfId="0" applyFont="1" applyFill="1" applyBorder="1" applyAlignment="1" applyProtection="1">
      <alignment horizontal="center" vertical="center"/>
      <protection locked="0"/>
    </xf>
    <xf numFmtId="0" fontId="8" fillId="3" borderId="60" xfId="0" applyFont="1" applyFill="1" applyBorder="1" applyAlignment="1" applyProtection="1">
      <alignment horizontal="center" vertical="center"/>
      <protection locked="0"/>
    </xf>
    <xf numFmtId="180" fontId="3" fillId="0" borderId="40" xfId="0" applyNumberFormat="1" applyFont="1" applyBorder="1" applyAlignment="1">
      <alignment horizontal="center" vertical="center"/>
    </xf>
    <xf numFmtId="180" fontId="3" fillId="0" borderId="81" xfId="0" applyNumberFormat="1" applyFont="1" applyBorder="1" applyAlignment="1">
      <alignment horizontal="center" vertical="center"/>
    </xf>
    <xf numFmtId="2" fontId="6" fillId="0" borderId="0" xfId="0" applyNumberFormat="1" applyFont="1" applyAlignment="1">
      <alignment horizontal="center" vertical="center"/>
    </xf>
    <xf numFmtId="0" fontId="3" fillId="0" borderId="102" xfId="0" applyFont="1" applyBorder="1" applyAlignment="1">
      <alignment horizontal="center" vertical="center"/>
    </xf>
    <xf numFmtId="0" fontId="3" fillId="0" borderId="104" xfId="0" applyFont="1" applyBorder="1" applyAlignment="1">
      <alignment horizontal="center" vertical="center"/>
    </xf>
    <xf numFmtId="38" fontId="3" fillId="0" borderId="24" xfId="1" applyFont="1" applyBorder="1" applyAlignment="1">
      <alignment horizontal="center" vertical="center"/>
    </xf>
    <xf numFmtId="38" fontId="3" fillId="0" borderId="63" xfId="1" applyFont="1" applyBorder="1" applyAlignment="1">
      <alignment horizontal="center" vertical="center"/>
    </xf>
    <xf numFmtId="0" fontId="3" fillId="0" borderId="90" xfId="0" applyFont="1" applyBorder="1" applyAlignment="1">
      <alignment horizontal="center" vertical="center"/>
    </xf>
    <xf numFmtId="0" fontId="8" fillId="0" borderId="29" xfId="0" applyFont="1" applyBorder="1" applyAlignment="1">
      <alignment horizontal="center" vertical="center"/>
    </xf>
    <xf numFmtId="0" fontId="8" fillId="0" borderId="27" xfId="0" applyFont="1" applyBorder="1" applyAlignment="1">
      <alignment horizontal="center" vertical="center"/>
    </xf>
    <xf numFmtId="180" fontId="3" fillId="0" borderId="28" xfId="0" applyNumberFormat="1" applyFont="1" applyBorder="1" applyAlignment="1">
      <alignment horizontal="center" vertical="center"/>
    </xf>
    <xf numFmtId="0" fontId="27" fillId="0" borderId="58" xfId="0" applyFont="1" applyFill="1" applyBorder="1" applyAlignment="1">
      <alignment horizontal="center" vertical="center"/>
    </xf>
    <xf numFmtId="0" fontId="27" fillId="0" borderId="59" xfId="0" applyFont="1" applyFill="1" applyBorder="1" applyAlignment="1">
      <alignment horizontal="center" vertical="center"/>
    </xf>
    <xf numFmtId="0" fontId="27" fillId="0" borderId="79" xfId="0" applyFont="1" applyFill="1" applyBorder="1" applyAlignment="1">
      <alignment horizontal="center" vertical="center"/>
    </xf>
    <xf numFmtId="0" fontId="27" fillId="0" borderId="125" xfId="0" applyFont="1" applyFill="1" applyBorder="1" applyAlignment="1">
      <alignment horizontal="center" vertical="center"/>
    </xf>
    <xf numFmtId="181" fontId="7" fillId="3" borderId="75" xfId="0" applyNumberFormat="1" applyFont="1" applyFill="1" applyBorder="1" applyAlignment="1" applyProtection="1">
      <alignment horizontal="center" vertical="center"/>
      <protection locked="0"/>
    </xf>
    <xf numFmtId="180" fontId="3" fillId="0" borderId="120" xfId="0" applyNumberFormat="1" applyFont="1" applyBorder="1" applyAlignment="1">
      <alignment horizontal="center" vertical="center"/>
    </xf>
    <xf numFmtId="0" fontId="27" fillId="0" borderId="36" xfId="0" applyFont="1" applyFill="1" applyBorder="1" applyAlignment="1">
      <alignment horizontal="center" vertical="center"/>
    </xf>
    <xf numFmtId="0" fontId="27" fillId="0" borderId="78" xfId="0" applyFont="1" applyFill="1" applyBorder="1" applyAlignment="1">
      <alignment horizontal="center" vertical="center"/>
    </xf>
    <xf numFmtId="0" fontId="27" fillId="0" borderId="77" xfId="0" applyFont="1" applyFill="1" applyBorder="1" applyAlignment="1">
      <alignment horizontal="center" vertical="center"/>
    </xf>
    <xf numFmtId="0" fontId="27" fillId="0" borderId="0" xfId="0" applyFont="1" applyFill="1" applyBorder="1" applyAlignment="1">
      <alignment horizontal="center" vertical="center"/>
    </xf>
    <xf numFmtId="0" fontId="7" fillId="3" borderId="126" xfId="0" applyFont="1" applyFill="1" applyBorder="1" applyAlignment="1" applyProtection="1">
      <alignment horizontal="center" vertical="center" shrinkToFit="1"/>
      <protection locked="0"/>
    </xf>
    <xf numFmtId="0" fontId="7" fillId="3" borderId="127" xfId="0" applyFont="1" applyFill="1" applyBorder="1" applyAlignment="1" applyProtection="1">
      <alignment horizontal="center" vertical="center" shrinkToFit="1"/>
      <protection locked="0"/>
    </xf>
    <xf numFmtId="181" fontId="7" fillId="3" borderId="41" xfId="0" applyNumberFormat="1" applyFont="1" applyFill="1" applyBorder="1" applyAlignment="1" applyProtection="1">
      <alignment horizontal="center" vertical="center"/>
      <protection locked="0"/>
    </xf>
    <xf numFmtId="181" fontId="7" fillId="3" borderId="55" xfId="0" applyNumberFormat="1" applyFont="1" applyFill="1" applyBorder="1" applyAlignment="1" applyProtection="1">
      <alignment horizontal="center" vertical="center"/>
      <protection locked="0"/>
    </xf>
    <xf numFmtId="180" fontId="3" fillId="0" borderId="113" xfId="0" applyNumberFormat="1" applyFont="1" applyBorder="1" applyAlignment="1">
      <alignment horizontal="center" vertical="center"/>
    </xf>
    <xf numFmtId="180" fontId="3" fillId="0" borderId="123" xfId="0" applyNumberFormat="1" applyFont="1" applyBorder="1" applyAlignment="1">
      <alignment horizontal="center" vertical="center"/>
    </xf>
    <xf numFmtId="0" fontId="27" fillId="0" borderId="124" xfId="0" applyFont="1" applyFill="1" applyBorder="1" applyAlignment="1">
      <alignment horizontal="center" vertical="center"/>
    </xf>
    <xf numFmtId="0" fontId="27" fillId="0" borderId="93" xfId="0" applyFont="1" applyFill="1" applyBorder="1" applyAlignment="1">
      <alignment horizontal="center" vertical="center"/>
    </xf>
    <xf numFmtId="0" fontId="27" fillId="0" borderId="61" xfId="0" applyFont="1" applyFill="1" applyBorder="1" applyAlignment="1">
      <alignment horizontal="center" vertical="center"/>
    </xf>
    <xf numFmtId="0" fontId="27" fillId="0" borderId="70" xfId="0" applyFont="1" applyFill="1" applyBorder="1" applyAlignment="1">
      <alignment horizontal="center" vertical="center"/>
    </xf>
    <xf numFmtId="0" fontId="27" fillId="0" borderId="76" xfId="0" applyFont="1" applyFill="1" applyBorder="1" applyAlignment="1">
      <alignment horizontal="center" vertical="center"/>
    </xf>
    <xf numFmtId="0" fontId="27" fillId="0" borderId="6" xfId="0" applyFont="1" applyFill="1" applyBorder="1" applyAlignment="1">
      <alignment horizontal="center" vertical="center"/>
    </xf>
    <xf numFmtId="0" fontId="7" fillId="3" borderId="121" xfId="0" applyFont="1" applyFill="1" applyBorder="1" applyAlignment="1" applyProtection="1">
      <alignment horizontal="center" vertical="center" shrinkToFit="1"/>
      <protection locked="0"/>
    </xf>
    <xf numFmtId="0" fontId="7" fillId="3" borderId="122" xfId="0" applyFont="1" applyFill="1" applyBorder="1" applyAlignment="1" applyProtection="1">
      <alignment horizontal="center" vertical="center" shrinkToFit="1"/>
      <protection locked="0"/>
    </xf>
    <xf numFmtId="181" fontId="7" fillId="3" borderId="20" xfId="0" applyNumberFormat="1" applyFont="1" applyFill="1" applyBorder="1" applyAlignment="1" applyProtection="1">
      <alignment horizontal="center" vertical="center"/>
      <protection locked="0"/>
    </xf>
    <xf numFmtId="180" fontId="3" fillId="0" borderId="21" xfId="0" applyNumberFormat="1" applyFont="1" applyBorder="1" applyAlignment="1">
      <alignment horizontal="center" vertical="center"/>
    </xf>
    <xf numFmtId="0" fontId="3" fillId="0" borderId="42" xfId="0" applyFont="1" applyBorder="1" applyAlignment="1">
      <alignment horizontal="center" wrapText="1"/>
    </xf>
    <xf numFmtId="0" fontId="3" fillId="0" borderId="42" xfId="0" applyFont="1" applyBorder="1" applyAlignment="1">
      <alignment horizontal="center"/>
    </xf>
    <xf numFmtId="0" fontId="3" fillId="0" borderId="24" xfId="0" applyFont="1" applyBorder="1" applyAlignment="1">
      <alignment horizontal="center"/>
    </xf>
    <xf numFmtId="0" fontId="3" fillId="0" borderId="63" xfId="0" applyFont="1" applyBorder="1" applyAlignment="1">
      <alignment horizontal="center" vertical="center"/>
    </xf>
    <xf numFmtId="0" fontId="27" fillId="0" borderId="58" xfId="0" applyFont="1" applyFill="1" applyBorder="1" applyAlignment="1" applyProtection="1">
      <alignment horizontal="center" vertical="center"/>
    </xf>
    <xf numFmtId="0" fontId="28" fillId="0" borderId="59" xfId="0" applyFont="1" applyFill="1" applyBorder="1" applyAlignment="1" applyProtection="1">
      <alignment horizontal="center" vertical="center"/>
    </xf>
    <xf numFmtId="0" fontId="27" fillId="0" borderId="75" xfId="0" applyFont="1" applyFill="1" applyBorder="1" applyAlignment="1" applyProtection="1">
      <alignment horizontal="center" vertical="center"/>
    </xf>
    <xf numFmtId="0" fontId="3" fillId="0" borderId="41" xfId="0" applyFont="1" applyFill="1" applyBorder="1" applyAlignment="1">
      <alignment horizontal="center" vertical="center"/>
    </xf>
    <xf numFmtId="0" fontId="3" fillId="0" borderId="75" xfId="0" applyFont="1" applyFill="1" applyBorder="1" applyAlignment="1">
      <alignment horizontal="center" vertical="center"/>
    </xf>
    <xf numFmtId="0" fontId="27" fillId="0" borderId="54" xfId="0" applyFont="1" applyFill="1" applyBorder="1" applyAlignment="1" applyProtection="1">
      <alignment horizontal="center" vertical="center"/>
    </xf>
    <xf numFmtId="0" fontId="28" fillId="0" borderId="57" xfId="0" applyFont="1" applyFill="1" applyBorder="1" applyAlignment="1" applyProtection="1">
      <alignment horizontal="center" vertical="center"/>
    </xf>
    <xf numFmtId="0" fontId="27" fillId="0" borderId="41" xfId="0" applyFont="1" applyFill="1" applyBorder="1" applyAlignment="1" applyProtection="1">
      <alignment horizontal="center" vertical="center"/>
    </xf>
    <xf numFmtId="180" fontId="3" fillId="0" borderId="56" xfId="0" applyNumberFormat="1" applyFont="1" applyBorder="1" applyAlignment="1">
      <alignment horizontal="center" vertical="center"/>
    </xf>
    <xf numFmtId="0" fontId="3" fillId="0" borderId="24" xfId="0" applyFont="1" applyBorder="1" applyAlignment="1">
      <alignment horizontal="center" wrapText="1"/>
    </xf>
    <xf numFmtId="0" fontId="3" fillId="0" borderId="0" xfId="0" applyFont="1" applyAlignment="1">
      <alignment horizontal="center"/>
    </xf>
    <xf numFmtId="0" fontId="27" fillId="0" borderId="51" xfId="0" applyFont="1" applyFill="1" applyBorder="1" applyAlignment="1" applyProtection="1">
      <alignment horizontal="center" vertical="center"/>
    </xf>
    <xf numFmtId="0" fontId="28" fillId="0" borderId="60" xfId="0" applyFont="1" applyFill="1" applyBorder="1" applyAlignment="1" applyProtection="1">
      <alignment horizontal="center" vertical="center"/>
    </xf>
    <xf numFmtId="0" fontId="27" fillId="0" borderId="40" xfId="0" applyFont="1" applyFill="1" applyBorder="1" applyAlignment="1" applyProtection="1">
      <alignment horizontal="center" vertical="center"/>
    </xf>
    <xf numFmtId="0" fontId="3" fillId="0" borderId="40" xfId="0" applyFont="1" applyFill="1" applyBorder="1" applyAlignment="1">
      <alignment horizontal="center" vertical="center"/>
    </xf>
    <xf numFmtId="180" fontId="3" fillId="0" borderId="53" xfId="0" applyNumberFormat="1" applyFont="1" applyBorder="1" applyAlignment="1">
      <alignment horizontal="center" vertical="center"/>
    </xf>
    <xf numFmtId="0" fontId="8" fillId="0" borderId="119" xfId="0" applyFont="1" applyBorder="1" applyAlignment="1">
      <alignment horizontal="center" vertical="center"/>
    </xf>
    <xf numFmtId="0" fontId="8" fillId="0" borderId="82" xfId="0" applyFont="1" applyBorder="1" applyAlignment="1">
      <alignment horizontal="center" vertical="center"/>
    </xf>
    <xf numFmtId="0" fontId="7" fillId="3" borderId="118"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locked="0"/>
    </xf>
    <xf numFmtId="0" fontId="7" fillId="3" borderId="25"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shrinkToFit="1"/>
      <protection locked="0"/>
    </xf>
    <xf numFmtId="0" fontId="7" fillId="3" borderId="31" xfId="0" applyFont="1" applyFill="1" applyBorder="1" applyAlignment="1" applyProtection="1">
      <alignment horizontal="center" vertical="center" shrinkToFit="1"/>
      <protection locked="0"/>
    </xf>
    <xf numFmtId="0" fontId="7" fillId="3" borderId="104"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center" shrinkToFit="1"/>
      <protection locked="0"/>
    </xf>
    <xf numFmtId="0" fontId="7" fillId="3" borderId="26" xfId="0" applyFont="1" applyFill="1" applyBorder="1" applyAlignment="1" applyProtection="1">
      <alignment horizontal="center" vertical="center" shrinkToFit="1"/>
      <protection locked="0"/>
    </xf>
    <xf numFmtId="0" fontId="3" fillId="2" borderId="21" xfId="0" applyFont="1" applyFill="1" applyBorder="1" applyAlignment="1">
      <alignment horizontal="center" vertical="center"/>
    </xf>
    <xf numFmtId="0" fontId="3" fillId="2" borderId="37" xfId="0" applyFont="1" applyFill="1" applyBorder="1" applyAlignment="1">
      <alignment horizontal="center" vertical="center"/>
    </xf>
    <xf numFmtId="0" fontId="7" fillId="3" borderId="102" xfId="0" applyFont="1" applyFill="1" applyBorder="1" applyAlignment="1" applyProtection="1">
      <alignment horizontal="center" vertical="center"/>
      <protection locked="0"/>
    </xf>
    <xf numFmtId="0" fontId="7" fillId="3" borderId="42" xfId="0" applyFont="1" applyFill="1" applyBorder="1" applyAlignment="1" applyProtection="1">
      <alignment horizontal="center" vertical="center"/>
      <protection locked="0"/>
    </xf>
    <xf numFmtId="0" fontId="7" fillId="3" borderId="42" xfId="0" applyFont="1" applyFill="1" applyBorder="1" applyAlignment="1" applyProtection="1">
      <alignment horizontal="center" vertical="center" shrinkToFit="1"/>
      <protection locked="0"/>
    </xf>
    <xf numFmtId="0" fontId="7" fillId="3" borderId="44" xfId="0" applyFont="1" applyFill="1" applyBorder="1" applyAlignment="1" applyProtection="1">
      <alignment horizontal="center" vertical="center" shrinkToFit="1"/>
      <protection locked="0"/>
    </xf>
    <xf numFmtId="0" fontId="7" fillId="0" borderId="84" xfId="0" applyFont="1" applyBorder="1" applyAlignment="1">
      <alignment horizontal="center" vertical="center" wrapText="1"/>
    </xf>
    <xf numFmtId="0" fontId="8" fillId="0" borderId="48" xfId="0" applyFont="1" applyBorder="1" applyAlignment="1">
      <alignment horizontal="center" vertical="center"/>
    </xf>
    <xf numFmtId="0" fontId="7" fillId="3" borderId="7" xfId="0" applyFont="1" applyFill="1" applyBorder="1" applyAlignment="1" applyProtection="1">
      <alignment horizontal="center" vertical="center"/>
      <protection locked="0"/>
    </xf>
    <xf numFmtId="0" fontId="7" fillId="3" borderId="34" xfId="0" applyFont="1" applyFill="1" applyBorder="1" applyAlignment="1" applyProtection="1">
      <alignment horizontal="center" vertical="center"/>
      <protection locked="0"/>
    </xf>
    <xf numFmtId="176" fontId="7" fillId="3" borderId="128" xfId="0" applyNumberFormat="1" applyFont="1" applyFill="1" applyBorder="1" applyAlignment="1" applyProtection="1">
      <alignment horizontal="left" vertical="center"/>
      <protection locked="0"/>
    </xf>
    <xf numFmtId="176" fontId="7" fillId="3" borderId="129" xfId="0" applyNumberFormat="1" applyFont="1" applyFill="1" applyBorder="1" applyAlignment="1" applyProtection="1">
      <alignment horizontal="left" vertical="center"/>
      <protection locked="0"/>
    </xf>
    <xf numFmtId="0" fontId="7" fillId="0" borderId="61" xfId="0" applyFont="1" applyBorder="1" applyAlignment="1">
      <alignment horizontal="center" vertical="center"/>
    </xf>
    <xf numFmtId="0" fontId="7" fillId="0" borderId="70" xfId="0" applyFont="1" applyBorder="1" applyAlignment="1">
      <alignment horizontal="center" vertical="center"/>
    </xf>
    <xf numFmtId="0" fontId="7" fillId="0" borderId="20" xfId="0" applyFont="1" applyBorder="1" applyAlignment="1">
      <alignment horizontal="center" vertical="center" wrapText="1"/>
    </xf>
    <xf numFmtId="0" fontId="8" fillId="0" borderId="46" xfId="0" applyFont="1" applyBorder="1" applyAlignment="1">
      <alignment horizontal="center" vertical="center"/>
    </xf>
    <xf numFmtId="0" fontId="7" fillId="0" borderId="70" xfId="0" applyFont="1" applyBorder="1" applyAlignment="1">
      <alignment horizontal="center" vertical="center" wrapText="1"/>
    </xf>
    <xf numFmtId="0" fontId="8" fillId="0" borderId="71" xfId="0" applyFont="1" applyBorder="1" applyAlignment="1">
      <alignment horizontal="center" vertical="center"/>
    </xf>
    <xf numFmtId="0" fontId="7" fillId="3" borderId="45" xfId="0" applyFont="1" applyFill="1" applyBorder="1" applyAlignment="1" applyProtection="1">
      <alignment horizontal="center" vertical="center"/>
      <protection locked="0"/>
    </xf>
    <xf numFmtId="0" fontId="7" fillId="3" borderId="71" xfId="0" applyFont="1" applyFill="1" applyBorder="1" applyAlignment="1" applyProtection="1">
      <alignment horizontal="center" vertical="center"/>
      <protection locked="0"/>
    </xf>
    <xf numFmtId="0" fontId="7" fillId="0" borderId="3" xfId="0" applyFont="1" applyBorder="1" applyAlignment="1">
      <alignment horizontal="center" vertical="center" wrapText="1"/>
    </xf>
    <xf numFmtId="0" fontId="7" fillId="0" borderId="37" xfId="0" applyFont="1" applyBorder="1" applyAlignment="1">
      <alignment horizontal="center" vertical="center"/>
    </xf>
    <xf numFmtId="176" fontId="7" fillId="0" borderId="36" xfId="0" applyNumberFormat="1" applyFont="1" applyBorder="1" applyAlignment="1">
      <alignment horizontal="left" vertical="center"/>
    </xf>
    <xf numFmtId="176" fontId="7" fillId="0" borderId="0" xfId="0" applyNumberFormat="1" applyFont="1" applyBorder="1" applyAlignment="1">
      <alignment horizontal="left" vertical="center"/>
    </xf>
    <xf numFmtId="176" fontId="7" fillId="0" borderId="63" xfId="0" applyNumberFormat="1" applyFont="1" applyBorder="1" applyAlignment="1">
      <alignment horizontal="center" vertical="center"/>
    </xf>
    <xf numFmtId="176" fontId="7" fillId="0" borderId="17" xfId="0" applyNumberFormat="1" applyFont="1" applyBorder="1" applyAlignment="1">
      <alignment horizontal="center" vertical="center"/>
    </xf>
    <xf numFmtId="176" fontId="7" fillId="3" borderId="128" xfId="0" applyNumberFormat="1" applyFont="1" applyFill="1" applyBorder="1" applyAlignment="1" applyProtection="1">
      <alignment vertical="center"/>
      <protection locked="0"/>
    </xf>
    <xf numFmtId="176" fontId="7" fillId="3" borderId="130" xfId="0" applyNumberFormat="1" applyFont="1" applyFill="1" applyBorder="1" applyAlignment="1" applyProtection="1">
      <alignment vertical="center"/>
      <protection locked="0"/>
    </xf>
    <xf numFmtId="176" fontId="7" fillId="0" borderId="131" xfId="0" applyNumberFormat="1" applyFont="1" applyBorder="1" applyAlignment="1">
      <alignment horizontal="left" vertical="center"/>
    </xf>
    <xf numFmtId="176" fontId="7" fillId="0" borderId="132" xfId="0" applyNumberFormat="1" applyFont="1" applyBorder="1" applyAlignment="1">
      <alignment horizontal="left" vertical="center"/>
    </xf>
    <xf numFmtId="176" fontId="7" fillId="0" borderId="9" xfId="0" applyNumberFormat="1" applyFont="1" applyBorder="1" applyAlignment="1">
      <alignment vertical="center"/>
    </xf>
    <xf numFmtId="176" fontId="7" fillId="0" borderId="4" xfId="0" applyNumberFormat="1" applyFont="1" applyBorder="1" applyAlignment="1">
      <alignment vertical="center"/>
    </xf>
    <xf numFmtId="176" fontId="7" fillId="0" borderId="38" xfId="0" applyNumberFormat="1" applyFont="1" applyBorder="1" applyAlignment="1">
      <alignment vertical="center"/>
    </xf>
    <xf numFmtId="176" fontId="7" fillId="0" borderId="7" xfId="0" applyNumberFormat="1" applyFont="1" applyBorder="1" applyAlignment="1">
      <alignment vertical="center"/>
    </xf>
    <xf numFmtId="176" fontId="7" fillId="0" borderId="16" xfId="0" applyNumberFormat="1" applyFont="1" applyBorder="1" applyAlignment="1">
      <alignment vertical="center"/>
    </xf>
    <xf numFmtId="176" fontId="7" fillId="0" borderId="34" xfId="0" applyNumberFormat="1" applyFont="1" applyBorder="1" applyAlignment="1">
      <alignment vertical="center"/>
    </xf>
    <xf numFmtId="0" fontId="7" fillId="0" borderId="6" xfId="0" applyFont="1" applyBorder="1" applyAlignment="1">
      <alignment horizontal="center" vertical="center"/>
    </xf>
    <xf numFmtId="0" fontId="7" fillId="0" borderId="62" xfId="0" applyFont="1" applyBorder="1" applyAlignment="1">
      <alignment horizontal="center" vertical="center"/>
    </xf>
    <xf numFmtId="0" fontId="7" fillId="0" borderId="4" xfId="0" applyFont="1" applyBorder="1" applyAlignment="1">
      <alignment horizontal="center" vertical="center"/>
    </xf>
    <xf numFmtId="0" fontId="7" fillId="0" borderId="69" xfId="0" applyFont="1" applyBorder="1" applyAlignment="1">
      <alignment horizontal="center" vertical="center"/>
    </xf>
    <xf numFmtId="0" fontId="7" fillId="0" borderId="133" xfId="0" applyFont="1" applyBorder="1" applyAlignment="1">
      <alignment horizontal="center" vertical="center"/>
    </xf>
  </cellXfs>
  <cellStyles count="3">
    <cellStyle name="桁区切り" xfId="1" builtinId="6"/>
    <cellStyle name="標準" xfId="0" builtinId="0"/>
    <cellStyle name="標準 2" xfId="2"/>
  </cellStyles>
  <dxfs count="24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AE$16" lockText="1" noThreeD="1"/>
</file>

<file path=xl/ctrlProps/ctrlProp10.xml><?xml version="1.0" encoding="utf-8"?>
<formControlPr xmlns="http://schemas.microsoft.com/office/spreadsheetml/2009/9/main" objectType="CheckBox" fmlaLink="$AF$16" lockText="1" noThreeD="1"/>
</file>

<file path=xl/ctrlProps/ctrlProp100.xml><?xml version="1.0" encoding="utf-8"?>
<formControlPr xmlns="http://schemas.microsoft.com/office/spreadsheetml/2009/9/main" objectType="CheckBox" fmlaLink="$AF$15" lockText="1" noThreeD="1"/>
</file>

<file path=xl/ctrlProps/ctrlProp101.xml><?xml version="1.0" encoding="utf-8"?>
<formControlPr xmlns="http://schemas.microsoft.com/office/spreadsheetml/2009/9/main" objectType="CheckBox" fmlaLink="$AF$16" lockText="1" noThreeD="1"/>
</file>

<file path=xl/ctrlProps/ctrlProp102.xml><?xml version="1.0" encoding="utf-8"?>
<formControlPr xmlns="http://schemas.microsoft.com/office/spreadsheetml/2009/9/main" objectType="CheckBox" fmlaLink="$AF$9" lockText="1" noThreeD="1"/>
</file>

<file path=xl/ctrlProps/ctrlProp103.xml><?xml version="1.0" encoding="utf-8"?>
<formControlPr xmlns="http://schemas.microsoft.com/office/spreadsheetml/2009/9/main" objectType="CheckBox" fmlaLink="$AF$10" lockText="1" noThreeD="1"/>
</file>

<file path=xl/ctrlProps/ctrlProp104.xml><?xml version="1.0" encoding="utf-8"?>
<formControlPr xmlns="http://schemas.microsoft.com/office/spreadsheetml/2009/9/main" objectType="CheckBox" fmlaLink="$AF$11" lockText="1" noThreeD="1"/>
</file>

<file path=xl/ctrlProps/ctrlProp105.xml><?xml version="1.0" encoding="utf-8"?>
<formControlPr xmlns="http://schemas.microsoft.com/office/spreadsheetml/2009/9/main" objectType="CheckBox" fmlaLink="$AC$29" lockText="1" noThreeD="1"/>
</file>

<file path=xl/ctrlProps/ctrlProp106.xml><?xml version="1.0" encoding="utf-8"?>
<formControlPr xmlns="http://schemas.microsoft.com/office/spreadsheetml/2009/9/main" objectType="CheckBox" fmlaLink="$AC$30" lockText="1" noThreeD="1"/>
</file>

<file path=xl/ctrlProps/ctrlProp107.xml><?xml version="1.0" encoding="utf-8"?>
<formControlPr xmlns="http://schemas.microsoft.com/office/spreadsheetml/2009/9/main" objectType="CheckBox" fmlaLink="$AC$31" lockText="1" noThreeD="1"/>
</file>

<file path=xl/ctrlProps/ctrlProp11.xml><?xml version="1.0" encoding="utf-8"?>
<formControlPr xmlns="http://schemas.microsoft.com/office/spreadsheetml/2009/9/main" objectType="CheckBox" fmlaLink="$AF$9" lockText="1" noThreeD="1"/>
</file>

<file path=xl/ctrlProps/ctrlProp12.xml><?xml version="1.0" encoding="utf-8"?>
<formControlPr xmlns="http://schemas.microsoft.com/office/spreadsheetml/2009/9/main" objectType="CheckBox" fmlaLink="$AF$10" lockText="1" noThreeD="1"/>
</file>

<file path=xl/ctrlProps/ctrlProp13.xml><?xml version="1.0" encoding="utf-8"?>
<formControlPr xmlns="http://schemas.microsoft.com/office/spreadsheetml/2009/9/main" objectType="CheckBox" fmlaLink="$AF$11" lockText="1" noThreeD="1"/>
</file>

<file path=xl/ctrlProps/ctrlProp14.xml><?xml version="1.0" encoding="utf-8"?>
<formControlPr xmlns="http://schemas.microsoft.com/office/spreadsheetml/2009/9/main" objectType="CheckBox" fmlaLink="$AC$29" lockText="1" noThreeD="1"/>
</file>

<file path=xl/ctrlProps/ctrlProp15.xml><?xml version="1.0" encoding="utf-8"?>
<formControlPr xmlns="http://schemas.microsoft.com/office/spreadsheetml/2009/9/main" objectType="CheckBox" fmlaLink="$AC$30" lockText="1" noThreeD="1"/>
</file>

<file path=xl/ctrlProps/ctrlProp16.xml><?xml version="1.0" encoding="utf-8"?>
<formControlPr xmlns="http://schemas.microsoft.com/office/spreadsheetml/2009/9/main" objectType="CheckBox" fmlaLink="$AC$31" lockText="1" noThreeD="1"/>
</file>

<file path=xl/ctrlProps/ctrlProp17.xml><?xml version="1.0" encoding="utf-8"?>
<formControlPr xmlns="http://schemas.microsoft.com/office/spreadsheetml/2009/9/main" objectType="CheckBox" fmlaLink="$AF$7" lockText="1" noThreeD="1"/>
</file>

<file path=xl/ctrlProps/ctrlProp18.xml><?xml version="1.0" encoding="utf-8"?>
<formControlPr xmlns="http://schemas.microsoft.com/office/spreadsheetml/2009/9/main" objectType="CheckBox" fmlaLink="$AF$8" lockText="1" noThreeD="1"/>
</file>

<file path=xl/ctrlProps/ctrlProp19.xml><?xml version="1.0" encoding="utf-8"?>
<formControlPr xmlns="http://schemas.microsoft.com/office/spreadsheetml/2009/9/main" objectType="CheckBox" fmlaLink="$AF$12"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AF$13" lockText="1" noThreeD="1"/>
</file>

<file path=xl/ctrlProps/ctrlProp21.xml><?xml version="1.0" encoding="utf-8"?>
<formControlPr xmlns="http://schemas.microsoft.com/office/spreadsheetml/2009/9/main" objectType="CheckBox" fmlaLink="$AF$14" lockText="1" noThreeD="1"/>
</file>

<file path=xl/ctrlProps/ctrlProp22.xml><?xml version="1.0" encoding="utf-8"?>
<formControlPr xmlns="http://schemas.microsoft.com/office/spreadsheetml/2009/9/main" objectType="CheckBox" fmlaLink="$AF$15" lockText="1" noThreeD="1"/>
</file>

<file path=xl/ctrlProps/ctrlProp23.xml><?xml version="1.0" encoding="utf-8"?>
<formControlPr xmlns="http://schemas.microsoft.com/office/spreadsheetml/2009/9/main" objectType="CheckBox" fmlaLink="$AF$16" lockText="1" noThreeD="1"/>
</file>

<file path=xl/ctrlProps/ctrlProp24.xml><?xml version="1.0" encoding="utf-8"?>
<formControlPr xmlns="http://schemas.microsoft.com/office/spreadsheetml/2009/9/main" objectType="CheckBox" fmlaLink="$AF$9" lockText="1" noThreeD="1"/>
</file>

<file path=xl/ctrlProps/ctrlProp25.xml><?xml version="1.0" encoding="utf-8"?>
<formControlPr xmlns="http://schemas.microsoft.com/office/spreadsheetml/2009/9/main" objectType="CheckBox" fmlaLink="$AF$10" lockText="1" noThreeD="1"/>
</file>

<file path=xl/ctrlProps/ctrlProp26.xml><?xml version="1.0" encoding="utf-8"?>
<formControlPr xmlns="http://schemas.microsoft.com/office/spreadsheetml/2009/9/main" objectType="CheckBox" fmlaLink="$AF$11" lockText="1" noThreeD="1"/>
</file>

<file path=xl/ctrlProps/ctrlProp27.xml><?xml version="1.0" encoding="utf-8"?>
<formControlPr xmlns="http://schemas.microsoft.com/office/spreadsheetml/2009/9/main" objectType="CheckBox" fmlaLink="$AC$29" lockText="1" noThreeD="1"/>
</file>

<file path=xl/ctrlProps/ctrlProp28.xml><?xml version="1.0" encoding="utf-8"?>
<formControlPr xmlns="http://schemas.microsoft.com/office/spreadsheetml/2009/9/main" objectType="CheckBox" fmlaLink="$AC$30" lockText="1" noThreeD="1"/>
</file>

<file path=xl/ctrlProps/ctrlProp29.xml><?xml version="1.0" encoding="utf-8"?>
<formControlPr xmlns="http://schemas.microsoft.com/office/spreadsheetml/2009/9/main" objectType="CheckBox" fmlaLink="$AC$3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AF$7" lockText="1" noThreeD="1"/>
</file>

<file path=xl/ctrlProps/ctrlProp31.xml><?xml version="1.0" encoding="utf-8"?>
<formControlPr xmlns="http://schemas.microsoft.com/office/spreadsheetml/2009/9/main" objectType="CheckBox" fmlaLink="$AF$8" lockText="1" noThreeD="1"/>
</file>

<file path=xl/ctrlProps/ctrlProp32.xml><?xml version="1.0" encoding="utf-8"?>
<formControlPr xmlns="http://schemas.microsoft.com/office/spreadsheetml/2009/9/main" objectType="CheckBox" fmlaLink="$AF$12" lockText="1" noThreeD="1"/>
</file>

<file path=xl/ctrlProps/ctrlProp33.xml><?xml version="1.0" encoding="utf-8"?>
<formControlPr xmlns="http://schemas.microsoft.com/office/spreadsheetml/2009/9/main" objectType="CheckBox" fmlaLink="$AF$13" lockText="1" noThreeD="1"/>
</file>

<file path=xl/ctrlProps/ctrlProp34.xml><?xml version="1.0" encoding="utf-8"?>
<formControlPr xmlns="http://schemas.microsoft.com/office/spreadsheetml/2009/9/main" objectType="CheckBox" fmlaLink="$AF$14" lockText="1" noThreeD="1"/>
</file>

<file path=xl/ctrlProps/ctrlProp35.xml><?xml version="1.0" encoding="utf-8"?>
<formControlPr xmlns="http://schemas.microsoft.com/office/spreadsheetml/2009/9/main" objectType="CheckBox" fmlaLink="$AF$15" lockText="1" noThreeD="1"/>
</file>

<file path=xl/ctrlProps/ctrlProp36.xml><?xml version="1.0" encoding="utf-8"?>
<formControlPr xmlns="http://schemas.microsoft.com/office/spreadsheetml/2009/9/main" objectType="CheckBox" fmlaLink="$AF$16" lockText="1" noThreeD="1"/>
</file>

<file path=xl/ctrlProps/ctrlProp37.xml><?xml version="1.0" encoding="utf-8"?>
<formControlPr xmlns="http://schemas.microsoft.com/office/spreadsheetml/2009/9/main" objectType="CheckBox" fmlaLink="$AF$9" lockText="1" noThreeD="1"/>
</file>

<file path=xl/ctrlProps/ctrlProp38.xml><?xml version="1.0" encoding="utf-8"?>
<formControlPr xmlns="http://schemas.microsoft.com/office/spreadsheetml/2009/9/main" objectType="CheckBox" fmlaLink="$AF$10" lockText="1" noThreeD="1"/>
</file>

<file path=xl/ctrlProps/ctrlProp39.xml><?xml version="1.0" encoding="utf-8"?>
<formControlPr xmlns="http://schemas.microsoft.com/office/spreadsheetml/2009/9/main" objectType="CheckBox" fmlaLink="$AF$11" lockText="1" noThreeD="1"/>
</file>

<file path=xl/ctrlProps/ctrlProp4.xml><?xml version="1.0" encoding="utf-8"?>
<formControlPr xmlns="http://schemas.microsoft.com/office/spreadsheetml/2009/9/main" objectType="CheckBox" fmlaLink="$AF$7" lockText="1" noThreeD="1"/>
</file>

<file path=xl/ctrlProps/ctrlProp40.xml><?xml version="1.0" encoding="utf-8"?>
<formControlPr xmlns="http://schemas.microsoft.com/office/spreadsheetml/2009/9/main" objectType="CheckBox" fmlaLink="$AC$29" lockText="1" noThreeD="1"/>
</file>

<file path=xl/ctrlProps/ctrlProp41.xml><?xml version="1.0" encoding="utf-8"?>
<formControlPr xmlns="http://schemas.microsoft.com/office/spreadsheetml/2009/9/main" objectType="CheckBox" fmlaLink="$AC$30" lockText="1" noThreeD="1"/>
</file>

<file path=xl/ctrlProps/ctrlProp42.xml><?xml version="1.0" encoding="utf-8"?>
<formControlPr xmlns="http://schemas.microsoft.com/office/spreadsheetml/2009/9/main" objectType="CheckBox" fmlaLink="$AC$31" lockText="1" noThreeD="1"/>
</file>

<file path=xl/ctrlProps/ctrlProp43.xml><?xml version="1.0" encoding="utf-8"?>
<formControlPr xmlns="http://schemas.microsoft.com/office/spreadsheetml/2009/9/main" objectType="CheckBox" fmlaLink="$AF$7" lockText="1" noThreeD="1"/>
</file>

<file path=xl/ctrlProps/ctrlProp44.xml><?xml version="1.0" encoding="utf-8"?>
<formControlPr xmlns="http://schemas.microsoft.com/office/spreadsheetml/2009/9/main" objectType="CheckBox" fmlaLink="$AF$8" lockText="1" noThreeD="1"/>
</file>

<file path=xl/ctrlProps/ctrlProp45.xml><?xml version="1.0" encoding="utf-8"?>
<formControlPr xmlns="http://schemas.microsoft.com/office/spreadsheetml/2009/9/main" objectType="CheckBox" fmlaLink="$AF$12" lockText="1" noThreeD="1"/>
</file>

<file path=xl/ctrlProps/ctrlProp46.xml><?xml version="1.0" encoding="utf-8"?>
<formControlPr xmlns="http://schemas.microsoft.com/office/spreadsheetml/2009/9/main" objectType="CheckBox" fmlaLink="$AF$13" lockText="1" noThreeD="1"/>
</file>

<file path=xl/ctrlProps/ctrlProp47.xml><?xml version="1.0" encoding="utf-8"?>
<formControlPr xmlns="http://schemas.microsoft.com/office/spreadsheetml/2009/9/main" objectType="CheckBox" fmlaLink="$AF$14" lockText="1" noThreeD="1"/>
</file>

<file path=xl/ctrlProps/ctrlProp48.xml><?xml version="1.0" encoding="utf-8"?>
<formControlPr xmlns="http://schemas.microsoft.com/office/spreadsheetml/2009/9/main" objectType="CheckBox" fmlaLink="$AF$15" lockText="1" noThreeD="1"/>
</file>

<file path=xl/ctrlProps/ctrlProp49.xml><?xml version="1.0" encoding="utf-8"?>
<formControlPr xmlns="http://schemas.microsoft.com/office/spreadsheetml/2009/9/main" objectType="CheckBox" fmlaLink="$AF$16" lockText="1" noThreeD="1"/>
</file>

<file path=xl/ctrlProps/ctrlProp5.xml><?xml version="1.0" encoding="utf-8"?>
<formControlPr xmlns="http://schemas.microsoft.com/office/spreadsheetml/2009/9/main" objectType="CheckBox" fmlaLink="$AF$8" lockText="1" noThreeD="1"/>
</file>

<file path=xl/ctrlProps/ctrlProp50.xml><?xml version="1.0" encoding="utf-8"?>
<formControlPr xmlns="http://schemas.microsoft.com/office/spreadsheetml/2009/9/main" objectType="CheckBox" fmlaLink="$AF$9" lockText="1" noThreeD="1"/>
</file>

<file path=xl/ctrlProps/ctrlProp51.xml><?xml version="1.0" encoding="utf-8"?>
<formControlPr xmlns="http://schemas.microsoft.com/office/spreadsheetml/2009/9/main" objectType="CheckBox" fmlaLink="$AF$10" lockText="1" noThreeD="1"/>
</file>

<file path=xl/ctrlProps/ctrlProp52.xml><?xml version="1.0" encoding="utf-8"?>
<formControlPr xmlns="http://schemas.microsoft.com/office/spreadsheetml/2009/9/main" objectType="CheckBox" fmlaLink="$AF$11" lockText="1" noThreeD="1"/>
</file>

<file path=xl/ctrlProps/ctrlProp53.xml><?xml version="1.0" encoding="utf-8"?>
<formControlPr xmlns="http://schemas.microsoft.com/office/spreadsheetml/2009/9/main" objectType="CheckBox" fmlaLink="$AC$29" lockText="1" noThreeD="1"/>
</file>

<file path=xl/ctrlProps/ctrlProp54.xml><?xml version="1.0" encoding="utf-8"?>
<formControlPr xmlns="http://schemas.microsoft.com/office/spreadsheetml/2009/9/main" objectType="CheckBox" fmlaLink="$AC$30" lockText="1" noThreeD="1"/>
</file>

<file path=xl/ctrlProps/ctrlProp55.xml><?xml version="1.0" encoding="utf-8"?>
<formControlPr xmlns="http://schemas.microsoft.com/office/spreadsheetml/2009/9/main" objectType="CheckBox" fmlaLink="$AC$31" lockText="1" noThreeD="1"/>
</file>

<file path=xl/ctrlProps/ctrlProp56.xml><?xml version="1.0" encoding="utf-8"?>
<formControlPr xmlns="http://schemas.microsoft.com/office/spreadsheetml/2009/9/main" objectType="CheckBox" fmlaLink="$AF$7" lockText="1" noThreeD="1"/>
</file>

<file path=xl/ctrlProps/ctrlProp57.xml><?xml version="1.0" encoding="utf-8"?>
<formControlPr xmlns="http://schemas.microsoft.com/office/spreadsheetml/2009/9/main" objectType="CheckBox" fmlaLink="$AF$8" lockText="1" noThreeD="1"/>
</file>

<file path=xl/ctrlProps/ctrlProp58.xml><?xml version="1.0" encoding="utf-8"?>
<formControlPr xmlns="http://schemas.microsoft.com/office/spreadsheetml/2009/9/main" objectType="CheckBox" fmlaLink="$AF$12" lockText="1" noThreeD="1"/>
</file>

<file path=xl/ctrlProps/ctrlProp59.xml><?xml version="1.0" encoding="utf-8"?>
<formControlPr xmlns="http://schemas.microsoft.com/office/spreadsheetml/2009/9/main" objectType="CheckBox" fmlaLink="$AF$13" lockText="1" noThreeD="1"/>
</file>

<file path=xl/ctrlProps/ctrlProp6.xml><?xml version="1.0" encoding="utf-8"?>
<formControlPr xmlns="http://schemas.microsoft.com/office/spreadsheetml/2009/9/main" objectType="CheckBox" fmlaLink="$AF$12" lockText="1" noThreeD="1"/>
</file>

<file path=xl/ctrlProps/ctrlProp60.xml><?xml version="1.0" encoding="utf-8"?>
<formControlPr xmlns="http://schemas.microsoft.com/office/spreadsheetml/2009/9/main" objectType="CheckBox" fmlaLink="$AF$14" lockText="1" noThreeD="1"/>
</file>

<file path=xl/ctrlProps/ctrlProp61.xml><?xml version="1.0" encoding="utf-8"?>
<formControlPr xmlns="http://schemas.microsoft.com/office/spreadsheetml/2009/9/main" objectType="CheckBox" fmlaLink="$AF$15" lockText="1" noThreeD="1"/>
</file>

<file path=xl/ctrlProps/ctrlProp62.xml><?xml version="1.0" encoding="utf-8"?>
<formControlPr xmlns="http://schemas.microsoft.com/office/spreadsheetml/2009/9/main" objectType="CheckBox" fmlaLink="$AF$16" lockText="1" noThreeD="1"/>
</file>

<file path=xl/ctrlProps/ctrlProp63.xml><?xml version="1.0" encoding="utf-8"?>
<formControlPr xmlns="http://schemas.microsoft.com/office/spreadsheetml/2009/9/main" objectType="CheckBox" fmlaLink="$AF$9" lockText="1" noThreeD="1"/>
</file>

<file path=xl/ctrlProps/ctrlProp64.xml><?xml version="1.0" encoding="utf-8"?>
<formControlPr xmlns="http://schemas.microsoft.com/office/spreadsheetml/2009/9/main" objectType="CheckBox" fmlaLink="$AF$10" lockText="1" noThreeD="1"/>
</file>

<file path=xl/ctrlProps/ctrlProp65.xml><?xml version="1.0" encoding="utf-8"?>
<formControlPr xmlns="http://schemas.microsoft.com/office/spreadsheetml/2009/9/main" objectType="CheckBox" fmlaLink="$AF$11" lockText="1" noThreeD="1"/>
</file>

<file path=xl/ctrlProps/ctrlProp66.xml><?xml version="1.0" encoding="utf-8"?>
<formControlPr xmlns="http://schemas.microsoft.com/office/spreadsheetml/2009/9/main" objectType="CheckBox" fmlaLink="$AC$29" lockText="1" noThreeD="1"/>
</file>

<file path=xl/ctrlProps/ctrlProp67.xml><?xml version="1.0" encoding="utf-8"?>
<formControlPr xmlns="http://schemas.microsoft.com/office/spreadsheetml/2009/9/main" objectType="CheckBox" fmlaLink="$AC$30" lockText="1" noThreeD="1"/>
</file>

<file path=xl/ctrlProps/ctrlProp68.xml><?xml version="1.0" encoding="utf-8"?>
<formControlPr xmlns="http://schemas.microsoft.com/office/spreadsheetml/2009/9/main" objectType="CheckBox" fmlaLink="$AC$31" lockText="1" noThreeD="1"/>
</file>

<file path=xl/ctrlProps/ctrlProp69.xml><?xml version="1.0" encoding="utf-8"?>
<formControlPr xmlns="http://schemas.microsoft.com/office/spreadsheetml/2009/9/main" objectType="CheckBox" fmlaLink="$AF$7" lockText="1" noThreeD="1"/>
</file>

<file path=xl/ctrlProps/ctrlProp7.xml><?xml version="1.0" encoding="utf-8"?>
<formControlPr xmlns="http://schemas.microsoft.com/office/spreadsheetml/2009/9/main" objectType="CheckBox" fmlaLink="$AF$13" lockText="1" noThreeD="1"/>
</file>

<file path=xl/ctrlProps/ctrlProp70.xml><?xml version="1.0" encoding="utf-8"?>
<formControlPr xmlns="http://schemas.microsoft.com/office/spreadsheetml/2009/9/main" objectType="CheckBox" fmlaLink="$AF$8" lockText="1" noThreeD="1"/>
</file>

<file path=xl/ctrlProps/ctrlProp71.xml><?xml version="1.0" encoding="utf-8"?>
<formControlPr xmlns="http://schemas.microsoft.com/office/spreadsheetml/2009/9/main" objectType="CheckBox" fmlaLink="$AF$12" lockText="1" noThreeD="1"/>
</file>

<file path=xl/ctrlProps/ctrlProp72.xml><?xml version="1.0" encoding="utf-8"?>
<formControlPr xmlns="http://schemas.microsoft.com/office/spreadsheetml/2009/9/main" objectType="CheckBox" fmlaLink="$AF$13" lockText="1" noThreeD="1"/>
</file>

<file path=xl/ctrlProps/ctrlProp73.xml><?xml version="1.0" encoding="utf-8"?>
<formControlPr xmlns="http://schemas.microsoft.com/office/spreadsheetml/2009/9/main" objectType="CheckBox" fmlaLink="$AF$14" lockText="1" noThreeD="1"/>
</file>

<file path=xl/ctrlProps/ctrlProp74.xml><?xml version="1.0" encoding="utf-8"?>
<formControlPr xmlns="http://schemas.microsoft.com/office/spreadsheetml/2009/9/main" objectType="CheckBox" fmlaLink="$AF$15" lockText="1" noThreeD="1"/>
</file>

<file path=xl/ctrlProps/ctrlProp75.xml><?xml version="1.0" encoding="utf-8"?>
<formControlPr xmlns="http://schemas.microsoft.com/office/spreadsheetml/2009/9/main" objectType="CheckBox" fmlaLink="$AF$16" lockText="1" noThreeD="1"/>
</file>

<file path=xl/ctrlProps/ctrlProp76.xml><?xml version="1.0" encoding="utf-8"?>
<formControlPr xmlns="http://schemas.microsoft.com/office/spreadsheetml/2009/9/main" objectType="CheckBox" fmlaLink="$AF$9" lockText="1" noThreeD="1"/>
</file>

<file path=xl/ctrlProps/ctrlProp77.xml><?xml version="1.0" encoding="utf-8"?>
<formControlPr xmlns="http://schemas.microsoft.com/office/spreadsheetml/2009/9/main" objectType="CheckBox" fmlaLink="$AF$10" lockText="1" noThreeD="1"/>
</file>

<file path=xl/ctrlProps/ctrlProp78.xml><?xml version="1.0" encoding="utf-8"?>
<formControlPr xmlns="http://schemas.microsoft.com/office/spreadsheetml/2009/9/main" objectType="CheckBox" fmlaLink="$AF$11" lockText="1" noThreeD="1"/>
</file>

<file path=xl/ctrlProps/ctrlProp79.xml><?xml version="1.0" encoding="utf-8"?>
<formControlPr xmlns="http://schemas.microsoft.com/office/spreadsheetml/2009/9/main" objectType="CheckBox" fmlaLink="$AC$29" lockText="1" noThreeD="1"/>
</file>

<file path=xl/ctrlProps/ctrlProp8.xml><?xml version="1.0" encoding="utf-8"?>
<formControlPr xmlns="http://schemas.microsoft.com/office/spreadsheetml/2009/9/main" objectType="CheckBox" fmlaLink="$AF$14" lockText="1" noThreeD="1"/>
</file>

<file path=xl/ctrlProps/ctrlProp80.xml><?xml version="1.0" encoding="utf-8"?>
<formControlPr xmlns="http://schemas.microsoft.com/office/spreadsheetml/2009/9/main" objectType="CheckBox" fmlaLink="$AC$30" lockText="1" noThreeD="1"/>
</file>

<file path=xl/ctrlProps/ctrlProp81.xml><?xml version="1.0" encoding="utf-8"?>
<formControlPr xmlns="http://schemas.microsoft.com/office/spreadsheetml/2009/9/main" objectType="CheckBox" fmlaLink="$AC$31" lockText="1" noThreeD="1"/>
</file>

<file path=xl/ctrlProps/ctrlProp82.xml><?xml version="1.0" encoding="utf-8"?>
<formControlPr xmlns="http://schemas.microsoft.com/office/spreadsheetml/2009/9/main" objectType="CheckBox" fmlaLink="$AF$7" lockText="1" noThreeD="1"/>
</file>

<file path=xl/ctrlProps/ctrlProp83.xml><?xml version="1.0" encoding="utf-8"?>
<formControlPr xmlns="http://schemas.microsoft.com/office/spreadsheetml/2009/9/main" objectType="CheckBox" fmlaLink="$AF$8" lockText="1" noThreeD="1"/>
</file>

<file path=xl/ctrlProps/ctrlProp84.xml><?xml version="1.0" encoding="utf-8"?>
<formControlPr xmlns="http://schemas.microsoft.com/office/spreadsheetml/2009/9/main" objectType="CheckBox" fmlaLink="$AF$12" lockText="1" noThreeD="1"/>
</file>

<file path=xl/ctrlProps/ctrlProp85.xml><?xml version="1.0" encoding="utf-8"?>
<formControlPr xmlns="http://schemas.microsoft.com/office/spreadsheetml/2009/9/main" objectType="CheckBox" fmlaLink="$AF$13" lockText="1" noThreeD="1"/>
</file>

<file path=xl/ctrlProps/ctrlProp86.xml><?xml version="1.0" encoding="utf-8"?>
<formControlPr xmlns="http://schemas.microsoft.com/office/spreadsheetml/2009/9/main" objectType="CheckBox" fmlaLink="$AF$14" lockText="1" noThreeD="1"/>
</file>

<file path=xl/ctrlProps/ctrlProp87.xml><?xml version="1.0" encoding="utf-8"?>
<formControlPr xmlns="http://schemas.microsoft.com/office/spreadsheetml/2009/9/main" objectType="CheckBox" fmlaLink="$AF$15" lockText="1" noThreeD="1"/>
</file>

<file path=xl/ctrlProps/ctrlProp88.xml><?xml version="1.0" encoding="utf-8"?>
<formControlPr xmlns="http://schemas.microsoft.com/office/spreadsheetml/2009/9/main" objectType="CheckBox" fmlaLink="$AF$16" lockText="1" noThreeD="1"/>
</file>

<file path=xl/ctrlProps/ctrlProp89.xml><?xml version="1.0" encoding="utf-8"?>
<formControlPr xmlns="http://schemas.microsoft.com/office/spreadsheetml/2009/9/main" objectType="CheckBox" fmlaLink="$AF$9" lockText="1" noThreeD="1"/>
</file>

<file path=xl/ctrlProps/ctrlProp9.xml><?xml version="1.0" encoding="utf-8"?>
<formControlPr xmlns="http://schemas.microsoft.com/office/spreadsheetml/2009/9/main" objectType="CheckBox" fmlaLink="$AF$15" lockText="1" noThreeD="1"/>
</file>

<file path=xl/ctrlProps/ctrlProp90.xml><?xml version="1.0" encoding="utf-8"?>
<formControlPr xmlns="http://schemas.microsoft.com/office/spreadsheetml/2009/9/main" objectType="CheckBox" fmlaLink="$AF$10" lockText="1" noThreeD="1"/>
</file>

<file path=xl/ctrlProps/ctrlProp91.xml><?xml version="1.0" encoding="utf-8"?>
<formControlPr xmlns="http://schemas.microsoft.com/office/spreadsheetml/2009/9/main" objectType="CheckBox" fmlaLink="$AF$11" lockText="1" noThreeD="1"/>
</file>

<file path=xl/ctrlProps/ctrlProp92.xml><?xml version="1.0" encoding="utf-8"?>
<formControlPr xmlns="http://schemas.microsoft.com/office/spreadsheetml/2009/9/main" objectType="CheckBox" fmlaLink="$AC$29" lockText="1" noThreeD="1"/>
</file>

<file path=xl/ctrlProps/ctrlProp93.xml><?xml version="1.0" encoding="utf-8"?>
<formControlPr xmlns="http://schemas.microsoft.com/office/spreadsheetml/2009/9/main" objectType="CheckBox" fmlaLink="$AC$30" lockText="1" noThreeD="1"/>
</file>

<file path=xl/ctrlProps/ctrlProp94.xml><?xml version="1.0" encoding="utf-8"?>
<formControlPr xmlns="http://schemas.microsoft.com/office/spreadsheetml/2009/9/main" objectType="CheckBox" fmlaLink="$AC$31" lockText="1" noThreeD="1"/>
</file>

<file path=xl/ctrlProps/ctrlProp95.xml><?xml version="1.0" encoding="utf-8"?>
<formControlPr xmlns="http://schemas.microsoft.com/office/spreadsheetml/2009/9/main" objectType="CheckBox" fmlaLink="$AF$7" lockText="1" noThreeD="1"/>
</file>

<file path=xl/ctrlProps/ctrlProp96.xml><?xml version="1.0" encoding="utf-8"?>
<formControlPr xmlns="http://schemas.microsoft.com/office/spreadsheetml/2009/9/main" objectType="CheckBox" fmlaLink="$AF$8" lockText="1" noThreeD="1"/>
</file>

<file path=xl/ctrlProps/ctrlProp97.xml><?xml version="1.0" encoding="utf-8"?>
<formControlPr xmlns="http://schemas.microsoft.com/office/spreadsheetml/2009/9/main" objectType="CheckBox" fmlaLink="$AF$12" lockText="1" noThreeD="1"/>
</file>

<file path=xl/ctrlProps/ctrlProp98.xml><?xml version="1.0" encoding="utf-8"?>
<formControlPr xmlns="http://schemas.microsoft.com/office/spreadsheetml/2009/9/main" objectType="CheckBox" fmlaLink="$AF$13" lockText="1" noThreeD="1"/>
</file>

<file path=xl/ctrlProps/ctrlProp99.xml><?xml version="1.0" encoding="utf-8"?>
<formControlPr xmlns="http://schemas.microsoft.com/office/spreadsheetml/2009/9/main" objectType="CheckBox" fmlaLink="$AF$14" lockText="1" noThreeD="1"/>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28575</xdr:colOff>
          <xdr:row>14</xdr:row>
          <xdr:rowOff>85725</xdr:rowOff>
        </xdr:from>
        <xdr:to>
          <xdr:col>25</xdr:col>
          <xdr:colOff>57150</xdr:colOff>
          <xdr:row>14</xdr:row>
          <xdr:rowOff>295275</xdr:rowOff>
        </xdr:to>
        <xdr:sp macro="" textlink="">
          <xdr:nvSpPr>
            <xdr:cNvPr id="94214" name="Option Button 6" hidden="1">
              <a:extLst>
                <a:ext uri="{63B3BB69-23CF-44E3-9099-C40C66FF867C}">
                  <a14:compatExt spid="_x0000_s94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15</xdr:row>
          <xdr:rowOff>85725</xdr:rowOff>
        </xdr:from>
        <xdr:to>
          <xdr:col>25</xdr:col>
          <xdr:colOff>57150</xdr:colOff>
          <xdr:row>15</xdr:row>
          <xdr:rowOff>295275</xdr:rowOff>
        </xdr:to>
        <xdr:sp macro="" textlink="">
          <xdr:nvSpPr>
            <xdr:cNvPr id="94215" name="Option Button 7" hidden="1">
              <a:extLst>
                <a:ext uri="{63B3BB69-23CF-44E3-9099-C40C66FF867C}">
                  <a14:compatExt spid="_x0000_s94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xdr:row>
          <xdr:rowOff>85725</xdr:rowOff>
        </xdr:from>
        <xdr:to>
          <xdr:col>25</xdr:col>
          <xdr:colOff>57150</xdr:colOff>
          <xdr:row>16</xdr:row>
          <xdr:rowOff>295275</xdr:rowOff>
        </xdr:to>
        <xdr:sp macro="" textlink="">
          <xdr:nvSpPr>
            <xdr:cNvPr id="94216" name="Option Button 8" hidden="1">
              <a:extLst>
                <a:ext uri="{63B3BB69-23CF-44E3-9099-C40C66FF867C}">
                  <a14:compatExt spid="_x0000_s94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4</xdr:col>
      <xdr:colOff>247650</xdr:colOff>
      <xdr:row>33</xdr:row>
      <xdr:rowOff>9525</xdr:rowOff>
    </xdr:from>
    <xdr:to>
      <xdr:col>23</xdr:col>
      <xdr:colOff>85725</xdr:colOff>
      <xdr:row>42</xdr:row>
      <xdr:rowOff>161925</xdr:rowOff>
    </xdr:to>
    <xdr:pic>
      <xdr:nvPicPr>
        <xdr:cNvPr id="107725"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1428750" y="8315325"/>
          <a:ext cx="5086350" cy="2381250"/>
        </a:xfrm>
        <a:prstGeom prst="rect">
          <a:avLst/>
        </a:prstGeom>
        <a:noFill/>
        <a:ln w="9525">
          <a:noFill/>
          <a:miter lim="800000"/>
          <a:headEnd/>
          <a:tailEnd/>
        </a:ln>
      </xdr:spPr>
    </xdr:pic>
    <xdr:clientData/>
  </xdr:twoCellAnchor>
  <xdr:twoCellAnchor>
    <xdr:from>
      <xdr:col>19</xdr:col>
      <xdr:colOff>273340</xdr:colOff>
      <xdr:row>3</xdr:row>
      <xdr:rowOff>4271</xdr:rowOff>
    </xdr:from>
    <xdr:to>
      <xdr:col>26</xdr:col>
      <xdr:colOff>200025</xdr:colOff>
      <xdr:row>8</xdr:row>
      <xdr:rowOff>200025</xdr:rowOff>
    </xdr:to>
    <xdr:sp macro="" textlink="">
      <xdr:nvSpPr>
        <xdr:cNvPr id="3" name="テキスト ボックス 2"/>
        <xdr:cNvSpPr txBox="1"/>
      </xdr:nvSpPr>
      <xdr:spPr bwMode="auto">
        <a:xfrm>
          <a:off x="5597815" y="880571"/>
          <a:ext cx="1860260" cy="1434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t>1)</a:t>
          </a:r>
          <a:r>
            <a:rPr kumimoji="1" lang="ja-JP" altLang="en-US" sz="1000"/>
            <a:t>土間床等面積の算出</a:t>
          </a:r>
          <a:endParaRPr kumimoji="1" lang="en-US" altLang="ja-JP" sz="1000"/>
        </a:p>
        <a:p>
          <a:pPr>
            <a:lnSpc>
              <a:spcPts val="500"/>
            </a:lnSpc>
          </a:pPr>
          <a:endParaRPr kumimoji="1" lang="en-US" altLang="ja-JP" sz="1000"/>
        </a:p>
        <a:p>
          <a:pPr>
            <a:lnSpc>
              <a:spcPts val="1100"/>
            </a:lnSpc>
          </a:pPr>
          <a:r>
            <a:rPr kumimoji="1" lang="ja-JP" altLang="en-US" sz="1000"/>
            <a:t>　基礎断熱の場合</a:t>
          </a:r>
          <a:endParaRPr kumimoji="1" lang="en-US" altLang="ja-JP" sz="1000"/>
        </a:p>
        <a:p>
          <a:pPr>
            <a:lnSpc>
              <a:spcPts val="1100"/>
            </a:lnSpc>
          </a:pPr>
          <a:r>
            <a:rPr kumimoji="1" lang="ja-JP" altLang="en-US" sz="1000"/>
            <a:t>　　Ｌ１</a:t>
          </a:r>
          <a:r>
            <a:rPr kumimoji="1" lang="en-US" altLang="ja-JP" sz="1000"/>
            <a:t>×</a:t>
          </a:r>
          <a:r>
            <a:rPr kumimoji="1" lang="ja-JP" altLang="en-US" sz="1000"/>
            <a:t>Ｌ２</a:t>
          </a:r>
          <a:endParaRPr kumimoji="1" lang="en-US" altLang="ja-JP" sz="1000"/>
        </a:p>
        <a:p>
          <a:pPr>
            <a:lnSpc>
              <a:spcPts val="1100"/>
            </a:lnSpc>
          </a:pPr>
          <a:r>
            <a:rPr kumimoji="1" lang="ja-JP" altLang="en-US" sz="1000"/>
            <a:t>　土間床部分の場合</a:t>
          </a:r>
          <a:endParaRPr kumimoji="1" lang="en-US" altLang="ja-JP" sz="1000"/>
        </a:p>
        <a:p>
          <a:pPr>
            <a:lnSpc>
              <a:spcPts val="1100"/>
            </a:lnSpc>
          </a:pPr>
          <a:r>
            <a:rPr kumimoji="1" lang="ja-JP" altLang="en-US" sz="1000"/>
            <a:t>　　Ｌ３</a:t>
          </a:r>
          <a:r>
            <a:rPr kumimoji="1" lang="en-US" altLang="ja-JP" sz="1000"/>
            <a:t>×</a:t>
          </a:r>
          <a:r>
            <a:rPr kumimoji="1" lang="ja-JP" altLang="en-US" sz="1000"/>
            <a:t>Ｌ４</a:t>
          </a:r>
          <a:endParaRPr kumimoji="1" lang="en-US" altLang="ja-JP" sz="1000"/>
        </a:p>
        <a:p>
          <a:pPr>
            <a:lnSpc>
              <a:spcPts val="1100"/>
            </a:lnSpc>
          </a:pPr>
          <a:r>
            <a:rPr kumimoji="1" lang="ja-JP" altLang="en-US" sz="1000"/>
            <a:t>　を求め入力する。</a:t>
          </a:r>
        </a:p>
      </xdr:txBody>
    </xdr:sp>
    <xdr:clientData/>
  </xdr:twoCellAnchor>
  <xdr:twoCellAnchor>
    <xdr:from>
      <xdr:col>20</xdr:col>
      <xdr:colOff>10602</xdr:colOff>
      <xdr:row>8</xdr:row>
      <xdr:rowOff>4272</xdr:rowOff>
    </xdr:from>
    <xdr:to>
      <xdr:col>27</xdr:col>
      <xdr:colOff>47625</xdr:colOff>
      <xdr:row>14</xdr:row>
      <xdr:rowOff>104775</xdr:rowOff>
    </xdr:to>
    <xdr:sp macro="" textlink="">
      <xdr:nvSpPr>
        <xdr:cNvPr id="4" name="テキスト ボックス 3"/>
        <xdr:cNvSpPr txBox="1"/>
      </xdr:nvSpPr>
      <xdr:spPr bwMode="auto">
        <a:xfrm>
          <a:off x="5611302" y="2118822"/>
          <a:ext cx="1970598" cy="1586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t>3)</a:t>
          </a:r>
          <a:r>
            <a:rPr kumimoji="1" lang="ja-JP" altLang="en-US" sz="1000"/>
            <a:t>基礎外周長さＬの算出</a:t>
          </a:r>
          <a:endParaRPr kumimoji="1" lang="en-US" altLang="ja-JP" sz="1000"/>
        </a:p>
        <a:p>
          <a:pPr>
            <a:lnSpc>
              <a:spcPts val="500"/>
            </a:lnSpc>
          </a:pPr>
          <a:endParaRPr kumimoji="1" lang="en-US" altLang="ja-JP" sz="1000"/>
        </a:p>
        <a:p>
          <a:pPr>
            <a:lnSpc>
              <a:spcPts val="1100"/>
            </a:lnSpc>
          </a:pPr>
          <a:r>
            <a:rPr kumimoji="1" lang="ja-JP" altLang="en-US" sz="1000"/>
            <a:t>　基礎断熱の場合</a:t>
          </a:r>
          <a:endParaRPr kumimoji="1" lang="en-US" altLang="ja-JP" sz="1000"/>
        </a:p>
        <a:p>
          <a:pPr>
            <a:lnSpc>
              <a:spcPts val="1100"/>
            </a:lnSpc>
          </a:pPr>
          <a:r>
            <a:rPr kumimoji="1" lang="ja-JP" altLang="en-US" sz="1000"/>
            <a:t>　　（Ｌ１＋Ｌ２）</a:t>
          </a:r>
          <a:r>
            <a:rPr kumimoji="1" lang="en-US" altLang="ja-JP" sz="1000"/>
            <a:t>×</a:t>
          </a:r>
          <a:r>
            <a:rPr kumimoji="1" lang="ja-JP" altLang="en-US" sz="1000"/>
            <a:t>２＝Ｌ</a:t>
          </a:r>
          <a:endParaRPr kumimoji="1" lang="en-US" altLang="ja-JP" sz="1000"/>
        </a:p>
        <a:p>
          <a:pPr>
            <a:lnSpc>
              <a:spcPts val="1100"/>
            </a:lnSpc>
          </a:pPr>
          <a:r>
            <a:rPr kumimoji="1" lang="ja-JP" altLang="en-US" sz="1000"/>
            <a:t>　土間床部分の場合</a:t>
          </a:r>
          <a:endParaRPr kumimoji="1" lang="en-US" altLang="ja-JP" sz="1000"/>
        </a:p>
        <a:p>
          <a:pPr>
            <a:lnSpc>
              <a:spcPts val="1100"/>
            </a:lnSpc>
          </a:pPr>
          <a:r>
            <a:rPr kumimoji="1" lang="ja-JP" altLang="en-US" sz="1000"/>
            <a:t>　　・温度差係数</a:t>
          </a:r>
          <a:r>
            <a:rPr kumimoji="1" lang="en-US" altLang="ja-JP" sz="1000"/>
            <a:t>0.7</a:t>
          </a:r>
          <a:r>
            <a:rPr kumimoji="1" lang="ja-JP" altLang="en-US" sz="1000"/>
            <a:t>の部分</a:t>
          </a:r>
          <a:endParaRPr kumimoji="1" lang="en-US" altLang="ja-JP" sz="1000"/>
        </a:p>
        <a:p>
          <a:pPr>
            <a:lnSpc>
              <a:spcPts val="1100"/>
            </a:lnSpc>
          </a:pPr>
          <a:r>
            <a:rPr kumimoji="1" lang="ja-JP" altLang="en-US" sz="1000"/>
            <a:t>　　　Ｌ３＋Ｌ４</a:t>
          </a:r>
          <a:r>
            <a:rPr kumimoji="1" lang="en-US" altLang="ja-JP" sz="1000"/>
            <a:t>×</a:t>
          </a:r>
          <a:r>
            <a:rPr kumimoji="1" lang="ja-JP" altLang="en-US" sz="1000"/>
            <a:t>２＝Ｌ</a:t>
          </a:r>
          <a:endParaRPr kumimoji="1" lang="en-US" altLang="ja-JP" sz="1000"/>
        </a:p>
        <a:p>
          <a:pPr>
            <a:lnSpc>
              <a:spcPts val="1100"/>
            </a:lnSpc>
          </a:pPr>
          <a:r>
            <a:rPr kumimoji="1" lang="ja-JP" altLang="en-US" sz="1000"/>
            <a:t>　　・温度差係数</a:t>
          </a:r>
          <a:r>
            <a:rPr kumimoji="1" lang="en-US" altLang="ja-JP" sz="1000"/>
            <a:t>1.0</a:t>
          </a:r>
          <a:r>
            <a:rPr kumimoji="1" lang="ja-JP" altLang="en-US" sz="1000"/>
            <a:t>の部分</a:t>
          </a:r>
          <a:endParaRPr kumimoji="1" lang="en-US" altLang="ja-JP" sz="1000"/>
        </a:p>
        <a:p>
          <a:pPr>
            <a:lnSpc>
              <a:spcPts val="1100"/>
            </a:lnSpc>
          </a:pPr>
          <a:r>
            <a:rPr kumimoji="1" lang="ja-JP" altLang="en-US" sz="1000">
              <a:solidFill>
                <a:schemeClr val="dk1"/>
              </a:solidFill>
              <a:latin typeface="+mn-lt"/>
              <a:ea typeface="+mn-ea"/>
              <a:cs typeface="+mn-cs"/>
            </a:rPr>
            <a:t>　　　</a:t>
          </a:r>
          <a:r>
            <a:rPr kumimoji="1" lang="ja-JP" altLang="ja-JP" sz="1000">
              <a:solidFill>
                <a:schemeClr val="dk1"/>
              </a:solidFill>
              <a:latin typeface="+mn-lt"/>
              <a:ea typeface="+mn-ea"/>
              <a:cs typeface="+mn-cs"/>
            </a:rPr>
            <a:t>Ｌ３＝Ｌ</a:t>
          </a:r>
          <a:endParaRPr kumimoji="1" lang="en-US" altLang="ja-JP" sz="1000"/>
        </a:p>
        <a:p>
          <a:pPr>
            <a:lnSpc>
              <a:spcPts val="1100"/>
            </a:lnSpc>
          </a:pPr>
          <a:r>
            <a:rPr kumimoji="1" lang="ja-JP" altLang="en-US" sz="1000"/>
            <a:t>　として入力する。</a:t>
          </a:r>
        </a:p>
      </xdr:txBody>
    </xdr:sp>
    <xdr:clientData/>
  </xdr:twoCellAnchor>
  <xdr:twoCellAnchor>
    <xdr:from>
      <xdr:col>9</xdr:col>
      <xdr:colOff>0</xdr:colOff>
      <xdr:row>1</xdr:row>
      <xdr:rowOff>180975</xdr:rowOff>
    </xdr:from>
    <xdr:to>
      <xdr:col>19</xdr:col>
      <xdr:colOff>142875</xdr:colOff>
      <xdr:row>10</xdr:row>
      <xdr:rowOff>219075</xdr:rowOff>
    </xdr:to>
    <xdr:grpSp>
      <xdr:nvGrpSpPr>
        <xdr:cNvPr id="107728" name="グループ化 32"/>
        <xdr:cNvGrpSpPr>
          <a:grpSpLocks/>
        </xdr:cNvGrpSpPr>
      </xdr:nvGrpSpPr>
      <xdr:grpSpPr bwMode="auto">
        <a:xfrm>
          <a:off x="2562225" y="561975"/>
          <a:ext cx="2905125" cy="2266950"/>
          <a:chOff x="159196" y="7833807"/>
          <a:chExt cx="3651576" cy="2925781"/>
        </a:xfrm>
      </xdr:grpSpPr>
      <xdr:sp macro="" textlink="">
        <xdr:nvSpPr>
          <xdr:cNvPr id="6" name="正方形/長方形 5"/>
          <xdr:cNvSpPr/>
        </xdr:nvSpPr>
        <xdr:spPr bwMode="auto">
          <a:xfrm>
            <a:off x="674008" y="8276362"/>
            <a:ext cx="3017040" cy="204067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grpSp>
        <xdr:nvGrpSpPr>
          <xdr:cNvPr id="107730" name="グループ化 31"/>
          <xdr:cNvGrpSpPr>
            <a:grpSpLocks/>
          </xdr:cNvGrpSpPr>
        </xdr:nvGrpSpPr>
        <xdr:grpSpPr bwMode="auto">
          <a:xfrm>
            <a:off x="159196" y="7833807"/>
            <a:ext cx="3651576" cy="2925781"/>
            <a:chOff x="158330" y="7875352"/>
            <a:chExt cx="3704371" cy="2942000"/>
          </a:xfrm>
        </xdr:grpSpPr>
        <xdr:sp macro="" textlink="">
          <xdr:nvSpPr>
            <xdr:cNvPr id="8" name="正方形/長方形 7"/>
            <xdr:cNvSpPr/>
          </xdr:nvSpPr>
          <xdr:spPr bwMode="auto">
            <a:xfrm>
              <a:off x="802040" y="8443974"/>
              <a:ext cx="935202" cy="70459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9" name="正方形/長方形 8"/>
            <xdr:cNvSpPr/>
          </xdr:nvSpPr>
          <xdr:spPr bwMode="auto">
            <a:xfrm>
              <a:off x="802040" y="9247461"/>
              <a:ext cx="935202" cy="102599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10" name="正方形/長方形 9"/>
            <xdr:cNvSpPr/>
          </xdr:nvSpPr>
          <xdr:spPr bwMode="auto">
            <a:xfrm>
              <a:off x="1846552" y="8443974"/>
              <a:ext cx="898765" cy="143391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11" name="正方形/長方形 10"/>
            <xdr:cNvSpPr/>
          </xdr:nvSpPr>
          <xdr:spPr bwMode="auto">
            <a:xfrm>
              <a:off x="1846552" y="9976781"/>
              <a:ext cx="898765" cy="29667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12" name="正方形/長方形 11"/>
            <xdr:cNvSpPr/>
          </xdr:nvSpPr>
          <xdr:spPr bwMode="auto">
            <a:xfrm>
              <a:off x="2866772" y="8443974"/>
              <a:ext cx="753020" cy="75404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13" name="正方形/長方形 12"/>
            <xdr:cNvSpPr/>
          </xdr:nvSpPr>
          <xdr:spPr bwMode="auto">
            <a:xfrm>
              <a:off x="2866772" y="9309268"/>
              <a:ext cx="753020" cy="9641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cxnSp macro="">
          <xdr:nvCxnSpPr>
            <xdr:cNvPr id="14" name="直線コネクタ 13"/>
            <xdr:cNvCxnSpPr/>
          </xdr:nvCxnSpPr>
          <xdr:spPr bwMode="auto">
            <a:xfrm>
              <a:off x="741313" y="8110218"/>
              <a:ext cx="0" cy="243518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xdr:cNvCxnSpPr/>
          </xdr:nvCxnSpPr>
          <xdr:spPr bwMode="auto">
            <a:xfrm>
              <a:off x="3680519" y="8110218"/>
              <a:ext cx="0" cy="243518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bwMode="auto">
            <a:xfrm>
              <a:off x="1785824" y="9692470"/>
              <a:ext cx="0" cy="87765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xdr:cNvCxnSpPr/>
          </xdr:nvCxnSpPr>
          <xdr:spPr bwMode="auto">
            <a:xfrm>
              <a:off x="2806044" y="9692470"/>
              <a:ext cx="0" cy="87765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xdr:cNvCxnSpPr/>
          </xdr:nvCxnSpPr>
          <xdr:spPr bwMode="auto">
            <a:xfrm>
              <a:off x="437676" y="8382167"/>
              <a:ext cx="3425025" cy="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xdr:cNvCxnSpPr/>
          </xdr:nvCxnSpPr>
          <xdr:spPr bwMode="auto">
            <a:xfrm>
              <a:off x="1397169" y="9927335"/>
              <a:ext cx="1712512" cy="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xdr:cNvCxnSpPr/>
          </xdr:nvCxnSpPr>
          <xdr:spPr bwMode="auto">
            <a:xfrm flipH="1">
              <a:off x="2186625" y="9976781"/>
              <a:ext cx="291491" cy="296672"/>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xdr:cNvCxnSpPr/>
          </xdr:nvCxnSpPr>
          <xdr:spPr bwMode="auto">
            <a:xfrm flipH="1">
              <a:off x="2247352" y="9976781"/>
              <a:ext cx="291491" cy="296672"/>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xdr:cNvCxnSpPr/>
          </xdr:nvCxnSpPr>
          <xdr:spPr bwMode="auto">
            <a:xfrm>
              <a:off x="1494333" y="9927335"/>
              <a:ext cx="0" cy="395563"/>
            </a:xfrm>
            <a:prstGeom prst="straightConnector1">
              <a:avLst/>
            </a:prstGeom>
            <a:ln w="1270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23" name="直線矢印コネクタ 22"/>
            <xdr:cNvCxnSpPr/>
          </xdr:nvCxnSpPr>
          <xdr:spPr bwMode="auto">
            <a:xfrm>
              <a:off x="474112" y="8382167"/>
              <a:ext cx="0" cy="1940731"/>
            </a:xfrm>
            <a:prstGeom prst="straightConnector1">
              <a:avLst/>
            </a:prstGeom>
            <a:ln w="1270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24" name="直線矢印コネクタ 23"/>
            <xdr:cNvCxnSpPr/>
          </xdr:nvCxnSpPr>
          <xdr:spPr bwMode="auto">
            <a:xfrm flipH="1">
              <a:off x="741313" y="8172024"/>
              <a:ext cx="2951351" cy="0"/>
            </a:xfrm>
            <a:prstGeom prst="straightConnector1">
              <a:avLst/>
            </a:prstGeom>
            <a:ln w="1270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47"/>
            <xdr:cNvSpPr txBox="1"/>
          </xdr:nvSpPr>
          <xdr:spPr bwMode="auto">
            <a:xfrm>
              <a:off x="2125898" y="10495957"/>
              <a:ext cx="619419" cy="32139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Ｌ３</a:t>
              </a:r>
            </a:p>
          </xdr:txBody>
        </xdr:sp>
        <xdr:sp macro="" textlink="">
          <xdr:nvSpPr>
            <xdr:cNvPr id="26" name="テキスト ボックス 48"/>
            <xdr:cNvSpPr txBox="1"/>
          </xdr:nvSpPr>
          <xdr:spPr bwMode="auto">
            <a:xfrm>
              <a:off x="2101607" y="7875352"/>
              <a:ext cx="582983" cy="32139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Ｌ１</a:t>
              </a:r>
            </a:p>
          </xdr:txBody>
        </xdr:sp>
        <xdr:sp macro="" textlink="">
          <xdr:nvSpPr>
            <xdr:cNvPr id="27" name="テキスト ボックス 49"/>
            <xdr:cNvSpPr txBox="1"/>
          </xdr:nvSpPr>
          <xdr:spPr bwMode="auto">
            <a:xfrm rot="16200000">
              <a:off x="966357" y="9795138"/>
              <a:ext cx="655151" cy="42509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Ｌ４</a:t>
              </a:r>
            </a:p>
          </xdr:txBody>
        </xdr:sp>
        <xdr:sp macro="" textlink="">
          <xdr:nvSpPr>
            <xdr:cNvPr id="28" name="テキスト ボックス 50"/>
            <xdr:cNvSpPr txBox="1"/>
          </xdr:nvSpPr>
          <xdr:spPr bwMode="auto">
            <a:xfrm rot="16200000">
              <a:off x="-5713" y="8991219"/>
              <a:ext cx="704597" cy="37651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Ｌ２</a:t>
              </a:r>
            </a:p>
          </xdr:txBody>
        </xdr:sp>
        <xdr:cxnSp macro="">
          <xdr:nvCxnSpPr>
            <xdr:cNvPr id="29" name="直線矢印コネクタ 28"/>
            <xdr:cNvCxnSpPr/>
          </xdr:nvCxnSpPr>
          <xdr:spPr bwMode="auto">
            <a:xfrm flipH="1">
              <a:off x="1785824" y="10495957"/>
              <a:ext cx="1020220" cy="0"/>
            </a:xfrm>
            <a:prstGeom prst="straightConnector1">
              <a:avLst/>
            </a:prstGeom>
            <a:ln w="1270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xdr:cNvCxnSpPr/>
          </xdr:nvCxnSpPr>
          <xdr:spPr bwMode="auto">
            <a:xfrm>
              <a:off x="437676" y="10322898"/>
              <a:ext cx="3425025" cy="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19</xdr:row>
      <xdr:rowOff>257175</xdr:rowOff>
    </xdr:from>
    <xdr:to>
      <xdr:col>6</xdr:col>
      <xdr:colOff>219075</xdr:colOff>
      <xdr:row>30</xdr:row>
      <xdr:rowOff>0</xdr:rowOff>
    </xdr:to>
    <xdr:grpSp>
      <xdr:nvGrpSpPr>
        <xdr:cNvPr id="85131" name="グループ化 4"/>
        <xdr:cNvGrpSpPr>
          <a:grpSpLocks/>
        </xdr:cNvGrpSpPr>
      </xdr:nvGrpSpPr>
      <xdr:grpSpPr bwMode="auto">
        <a:xfrm>
          <a:off x="381000" y="5495925"/>
          <a:ext cx="1609725" cy="2628900"/>
          <a:chOff x="381000" y="5495925"/>
          <a:chExt cx="1609725" cy="2628900"/>
        </a:xfrm>
      </xdr:grpSpPr>
      <xdr:pic>
        <xdr:nvPicPr>
          <xdr:cNvPr id="8513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81000" y="5495925"/>
            <a:ext cx="1609725" cy="2095500"/>
          </a:xfrm>
          <a:prstGeom prst="rect">
            <a:avLst/>
          </a:prstGeom>
          <a:noFill/>
          <a:ln w="9525">
            <a:noFill/>
            <a:miter lim="800000"/>
            <a:headEnd/>
            <a:tailEnd/>
          </a:ln>
        </xdr:spPr>
      </xdr:pic>
      <xdr:sp macro="" textlink="">
        <xdr:nvSpPr>
          <xdr:cNvPr id="4" name="テキスト ボックス 3"/>
          <xdr:cNvSpPr txBox="1"/>
        </xdr:nvSpPr>
        <xdr:spPr>
          <a:xfrm>
            <a:off x="447675" y="7810500"/>
            <a:ext cx="14668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twoCellAnchor editAs="oneCell">
    <xdr:from>
      <xdr:col>28</xdr:col>
      <xdr:colOff>0</xdr:colOff>
      <xdr:row>25</xdr:row>
      <xdr:rowOff>0</xdr:rowOff>
    </xdr:from>
    <xdr:to>
      <xdr:col>51</xdr:col>
      <xdr:colOff>676275</xdr:colOff>
      <xdr:row>34</xdr:row>
      <xdr:rowOff>114300</xdr:rowOff>
    </xdr:to>
    <xdr:pic>
      <xdr:nvPicPr>
        <xdr:cNvPr id="85132" name="図 5"/>
        <xdr:cNvPicPr>
          <a:picLocks noChangeAspect="1" noChangeArrowheads="1"/>
        </xdr:cNvPicPr>
      </xdr:nvPicPr>
      <xdr:blipFill>
        <a:blip xmlns:r="http://schemas.openxmlformats.org/officeDocument/2006/relationships" r:embed="rId2" cstate="print"/>
        <a:srcRect/>
        <a:stretch>
          <a:fillRect/>
        </a:stretch>
      </xdr:blipFill>
      <xdr:spPr bwMode="auto">
        <a:xfrm>
          <a:off x="8267700" y="6743700"/>
          <a:ext cx="5400675" cy="24479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12</xdr:col>
          <xdr:colOff>190500</xdr:colOff>
          <xdr:row>6</xdr:row>
          <xdr:rowOff>47625</xdr:rowOff>
        </xdr:from>
        <xdr:to>
          <xdr:col>13</xdr:col>
          <xdr:colOff>200025</xdr:colOff>
          <xdr:row>6</xdr:row>
          <xdr:rowOff>257175</xdr:rowOff>
        </xdr:to>
        <xdr:sp macro="" textlink="">
          <xdr:nvSpPr>
            <xdr:cNvPr id="84993" name="Check Box 1" hidden="1">
              <a:extLst>
                <a:ext uri="{63B3BB69-23CF-44E3-9099-C40C66FF867C}">
                  <a14:compatExt spid="_x0000_s84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xdr:row>
          <xdr:rowOff>47625</xdr:rowOff>
        </xdr:from>
        <xdr:to>
          <xdr:col>13</xdr:col>
          <xdr:colOff>200025</xdr:colOff>
          <xdr:row>7</xdr:row>
          <xdr:rowOff>257175</xdr:rowOff>
        </xdr:to>
        <xdr:sp macro="" textlink="">
          <xdr:nvSpPr>
            <xdr:cNvPr id="84994" name="Check Box 2" hidden="1">
              <a:extLst>
                <a:ext uri="{63B3BB69-23CF-44E3-9099-C40C66FF867C}">
                  <a14:compatExt spid="_x0000_s84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xdr:row>
          <xdr:rowOff>47625</xdr:rowOff>
        </xdr:from>
        <xdr:to>
          <xdr:col>13</xdr:col>
          <xdr:colOff>200025</xdr:colOff>
          <xdr:row>11</xdr:row>
          <xdr:rowOff>257175</xdr:rowOff>
        </xdr:to>
        <xdr:sp macro="" textlink="">
          <xdr:nvSpPr>
            <xdr:cNvPr id="84995" name="Check Box 3" hidden="1">
              <a:extLst>
                <a:ext uri="{63B3BB69-23CF-44E3-9099-C40C66FF867C}">
                  <a14:compatExt spid="_x0000_s84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12</xdr:row>
          <xdr:rowOff>47625</xdr:rowOff>
        </xdr:from>
        <xdr:to>
          <xdr:col>13</xdr:col>
          <xdr:colOff>200025</xdr:colOff>
          <xdr:row>12</xdr:row>
          <xdr:rowOff>257175</xdr:rowOff>
        </xdr:to>
        <xdr:sp macro="" textlink="">
          <xdr:nvSpPr>
            <xdr:cNvPr id="84996" name="Check Box 4" hidden="1">
              <a:extLst>
                <a:ext uri="{63B3BB69-23CF-44E3-9099-C40C66FF867C}">
                  <a14:compatExt spid="_x0000_s84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13</xdr:row>
          <xdr:rowOff>47625</xdr:rowOff>
        </xdr:from>
        <xdr:to>
          <xdr:col>13</xdr:col>
          <xdr:colOff>200025</xdr:colOff>
          <xdr:row>13</xdr:row>
          <xdr:rowOff>257175</xdr:rowOff>
        </xdr:to>
        <xdr:sp macro="" textlink="">
          <xdr:nvSpPr>
            <xdr:cNvPr id="84997" name="Check Box 5" hidden="1">
              <a:extLst>
                <a:ext uri="{63B3BB69-23CF-44E3-9099-C40C66FF867C}">
                  <a14:compatExt spid="_x0000_s84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14</xdr:row>
          <xdr:rowOff>47625</xdr:rowOff>
        </xdr:from>
        <xdr:to>
          <xdr:col>13</xdr:col>
          <xdr:colOff>200025</xdr:colOff>
          <xdr:row>14</xdr:row>
          <xdr:rowOff>257175</xdr:rowOff>
        </xdr:to>
        <xdr:sp macro="" textlink="">
          <xdr:nvSpPr>
            <xdr:cNvPr id="84998" name="Check Box 6" hidden="1">
              <a:extLst>
                <a:ext uri="{63B3BB69-23CF-44E3-9099-C40C66FF867C}">
                  <a14:compatExt spid="_x0000_s84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15</xdr:row>
          <xdr:rowOff>47625</xdr:rowOff>
        </xdr:from>
        <xdr:to>
          <xdr:col>13</xdr:col>
          <xdr:colOff>200025</xdr:colOff>
          <xdr:row>15</xdr:row>
          <xdr:rowOff>257175</xdr:rowOff>
        </xdr:to>
        <xdr:sp macro="" textlink="">
          <xdr:nvSpPr>
            <xdr:cNvPr id="84999" name="Check Box 7" hidden="1">
              <a:extLst>
                <a:ext uri="{63B3BB69-23CF-44E3-9099-C40C66FF867C}">
                  <a14:compatExt spid="_x0000_s84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xdr:row>
          <xdr:rowOff>47625</xdr:rowOff>
        </xdr:from>
        <xdr:to>
          <xdr:col>13</xdr:col>
          <xdr:colOff>200025</xdr:colOff>
          <xdr:row>8</xdr:row>
          <xdr:rowOff>257175</xdr:rowOff>
        </xdr:to>
        <xdr:sp macro="" textlink="">
          <xdr:nvSpPr>
            <xdr:cNvPr id="85018" name="Check Box 26" hidden="1">
              <a:extLst>
                <a:ext uri="{63B3BB69-23CF-44E3-9099-C40C66FF867C}">
                  <a14:compatExt spid="_x0000_s85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47625</xdr:rowOff>
        </xdr:from>
        <xdr:to>
          <xdr:col>13</xdr:col>
          <xdr:colOff>200025</xdr:colOff>
          <xdr:row>9</xdr:row>
          <xdr:rowOff>257175</xdr:rowOff>
        </xdr:to>
        <xdr:sp macro="" textlink="">
          <xdr:nvSpPr>
            <xdr:cNvPr id="85019" name="Check Box 27" hidden="1">
              <a:extLst>
                <a:ext uri="{63B3BB69-23CF-44E3-9099-C40C66FF867C}">
                  <a14:compatExt spid="_x0000_s85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47625</xdr:rowOff>
        </xdr:from>
        <xdr:to>
          <xdr:col>13</xdr:col>
          <xdr:colOff>200025</xdr:colOff>
          <xdr:row>10</xdr:row>
          <xdr:rowOff>257175</xdr:rowOff>
        </xdr:to>
        <xdr:sp macro="" textlink="">
          <xdr:nvSpPr>
            <xdr:cNvPr id="85020" name="Check Box 28" hidden="1">
              <a:extLst>
                <a:ext uri="{63B3BB69-23CF-44E3-9099-C40C66FF867C}">
                  <a14:compatExt spid="_x0000_s85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28</xdr:row>
          <xdr:rowOff>47625</xdr:rowOff>
        </xdr:from>
        <xdr:to>
          <xdr:col>19</xdr:col>
          <xdr:colOff>200025</xdr:colOff>
          <xdr:row>28</xdr:row>
          <xdr:rowOff>257175</xdr:rowOff>
        </xdr:to>
        <xdr:sp macro="" textlink="">
          <xdr:nvSpPr>
            <xdr:cNvPr id="85039" name="Check Box 47" hidden="1">
              <a:extLst>
                <a:ext uri="{63B3BB69-23CF-44E3-9099-C40C66FF867C}">
                  <a14:compatExt spid="_x0000_s85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29</xdr:row>
          <xdr:rowOff>47625</xdr:rowOff>
        </xdr:from>
        <xdr:to>
          <xdr:col>19</xdr:col>
          <xdr:colOff>200025</xdr:colOff>
          <xdr:row>29</xdr:row>
          <xdr:rowOff>257175</xdr:rowOff>
        </xdr:to>
        <xdr:sp macro="" textlink="">
          <xdr:nvSpPr>
            <xdr:cNvPr id="85040" name="Check Box 48" hidden="1">
              <a:extLst>
                <a:ext uri="{63B3BB69-23CF-44E3-9099-C40C66FF867C}">
                  <a14:compatExt spid="_x0000_s85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30</xdr:row>
          <xdr:rowOff>47625</xdr:rowOff>
        </xdr:from>
        <xdr:to>
          <xdr:col>19</xdr:col>
          <xdr:colOff>200025</xdr:colOff>
          <xdr:row>30</xdr:row>
          <xdr:rowOff>257175</xdr:rowOff>
        </xdr:to>
        <xdr:sp macro="" textlink="">
          <xdr:nvSpPr>
            <xdr:cNvPr id="85041" name="Check Box 49" hidden="1">
              <a:extLst>
                <a:ext uri="{63B3BB69-23CF-44E3-9099-C40C66FF867C}">
                  <a14:compatExt spid="_x0000_s85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85725</xdr:colOff>
      <xdr:row>19</xdr:row>
      <xdr:rowOff>257175</xdr:rowOff>
    </xdr:from>
    <xdr:to>
      <xdr:col>6</xdr:col>
      <xdr:colOff>219075</xdr:colOff>
      <xdr:row>30</xdr:row>
      <xdr:rowOff>0</xdr:rowOff>
    </xdr:to>
    <xdr:grpSp>
      <xdr:nvGrpSpPr>
        <xdr:cNvPr id="98412" name="グループ化 2"/>
        <xdr:cNvGrpSpPr>
          <a:grpSpLocks/>
        </xdr:cNvGrpSpPr>
      </xdr:nvGrpSpPr>
      <xdr:grpSpPr bwMode="auto">
        <a:xfrm>
          <a:off x="381000" y="5495925"/>
          <a:ext cx="1609725" cy="2628900"/>
          <a:chOff x="381000" y="5495925"/>
          <a:chExt cx="1609725" cy="2628900"/>
        </a:xfrm>
      </xdr:grpSpPr>
      <xdr:pic>
        <xdr:nvPicPr>
          <xdr:cNvPr id="98414"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81000" y="5495925"/>
            <a:ext cx="1609725" cy="2095500"/>
          </a:xfrm>
          <a:prstGeom prst="rect">
            <a:avLst/>
          </a:prstGeom>
          <a:noFill/>
          <a:ln w="9525">
            <a:noFill/>
            <a:miter lim="800000"/>
            <a:headEnd/>
            <a:tailEnd/>
          </a:ln>
        </xdr:spPr>
      </xdr:pic>
      <xdr:sp macro="" textlink="">
        <xdr:nvSpPr>
          <xdr:cNvPr id="5" name="テキスト ボックス 4"/>
          <xdr:cNvSpPr txBox="1"/>
        </xdr:nvSpPr>
        <xdr:spPr>
          <a:xfrm>
            <a:off x="447675" y="7810500"/>
            <a:ext cx="14668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twoCellAnchor editAs="oneCell">
    <xdr:from>
      <xdr:col>28</xdr:col>
      <xdr:colOff>0</xdr:colOff>
      <xdr:row>25</xdr:row>
      <xdr:rowOff>0</xdr:rowOff>
    </xdr:from>
    <xdr:to>
      <xdr:col>51</xdr:col>
      <xdr:colOff>676275</xdr:colOff>
      <xdr:row>34</xdr:row>
      <xdr:rowOff>114300</xdr:rowOff>
    </xdr:to>
    <xdr:pic>
      <xdr:nvPicPr>
        <xdr:cNvPr id="98413" name="図 5"/>
        <xdr:cNvPicPr>
          <a:picLocks noChangeAspect="1" noChangeArrowheads="1"/>
        </xdr:cNvPicPr>
      </xdr:nvPicPr>
      <xdr:blipFill>
        <a:blip xmlns:r="http://schemas.openxmlformats.org/officeDocument/2006/relationships" r:embed="rId2" cstate="print"/>
        <a:srcRect/>
        <a:stretch>
          <a:fillRect/>
        </a:stretch>
      </xdr:blipFill>
      <xdr:spPr bwMode="auto">
        <a:xfrm>
          <a:off x="8267700" y="6743700"/>
          <a:ext cx="5400675" cy="24479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12</xdr:col>
          <xdr:colOff>190500</xdr:colOff>
          <xdr:row>6</xdr:row>
          <xdr:rowOff>47625</xdr:rowOff>
        </xdr:from>
        <xdr:to>
          <xdr:col>13</xdr:col>
          <xdr:colOff>200025</xdr:colOff>
          <xdr:row>6</xdr:row>
          <xdr:rowOff>257175</xdr:rowOff>
        </xdr:to>
        <xdr:sp macro="" textlink="">
          <xdr:nvSpPr>
            <xdr:cNvPr id="98305" name="Check Box 1" hidden="1">
              <a:extLst>
                <a:ext uri="{63B3BB69-23CF-44E3-9099-C40C66FF867C}">
                  <a14:compatExt spid="_x0000_s98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xdr:row>
          <xdr:rowOff>47625</xdr:rowOff>
        </xdr:from>
        <xdr:to>
          <xdr:col>13</xdr:col>
          <xdr:colOff>200025</xdr:colOff>
          <xdr:row>7</xdr:row>
          <xdr:rowOff>257175</xdr:rowOff>
        </xdr:to>
        <xdr:sp macro="" textlink="">
          <xdr:nvSpPr>
            <xdr:cNvPr id="98306" name="Check Box 2" hidden="1">
              <a:extLst>
                <a:ext uri="{63B3BB69-23CF-44E3-9099-C40C66FF867C}">
                  <a14:compatExt spid="_x0000_s98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xdr:row>
          <xdr:rowOff>47625</xdr:rowOff>
        </xdr:from>
        <xdr:to>
          <xdr:col>13</xdr:col>
          <xdr:colOff>200025</xdr:colOff>
          <xdr:row>11</xdr:row>
          <xdr:rowOff>257175</xdr:rowOff>
        </xdr:to>
        <xdr:sp macro="" textlink="">
          <xdr:nvSpPr>
            <xdr:cNvPr id="98307" name="Check Box 3" hidden="1">
              <a:extLst>
                <a:ext uri="{63B3BB69-23CF-44E3-9099-C40C66FF867C}">
                  <a14:compatExt spid="_x0000_s98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12</xdr:row>
          <xdr:rowOff>47625</xdr:rowOff>
        </xdr:from>
        <xdr:to>
          <xdr:col>13</xdr:col>
          <xdr:colOff>200025</xdr:colOff>
          <xdr:row>12</xdr:row>
          <xdr:rowOff>257175</xdr:rowOff>
        </xdr:to>
        <xdr:sp macro="" textlink="">
          <xdr:nvSpPr>
            <xdr:cNvPr id="98308" name="Check Box 4" hidden="1">
              <a:extLst>
                <a:ext uri="{63B3BB69-23CF-44E3-9099-C40C66FF867C}">
                  <a14:compatExt spid="_x0000_s98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13</xdr:row>
          <xdr:rowOff>47625</xdr:rowOff>
        </xdr:from>
        <xdr:to>
          <xdr:col>13</xdr:col>
          <xdr:colOff>200025</xdr:colOff>
          <xdr:row>13</xdr:row>
          <xdr:rowOff>257175</xdr:rowOff>
        </xdr:to>
        <xdr:sp macro="" textlink="">
          <xdr:nvSpPr>
            <xdr:cNvPr id="98309" name="Check Box 5" hidden="1">
              <a:extLst>
                <a:ext uri="{63B3BB69-23CF-44E3-9099-C40C66FF867C}">
                  <a14:compatExt spid="_x0000_s98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14</xdr:row>
          <xdr:rowOff>47625</xdr:rowOff>
        </xdr:from>
        <xdr:to>
          <xdr:col>13</xdr:col>
          <xdr:colOff>200025</xdr:colOff>
          <xdr:row>14</xdr:row>
          <xdr:rowOff>257175</xdr:rowOff>
        </xdr:to>
        <xdr:sp macro="" textlink="">
          <xdr:nvSpPr>
            <xdr:cNvPr id="98310" name="Check Box 6" hidden="1">
              <a:extLst>
                <a:ext uri="{63B3BB69-23CF-44E3-9099-C40C66FF867C}">
                  <a14:compatExt spid="_x0000_s98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15</xdr:row>
          <xdr:rowOff>47625</xdr:rowOff>
        </xdr:from>
        <xdr:to>
          <xdr:col>13</xdr:col>
          <xdr:colOff>200025</xdr:colOff>
          <xdr:row>15</xdr:row>
          <xdr:rowOff>257175</xdr:rowOff>
        </xdr:to>
        <xdr:sp macro="" textlink="">
          <xdr:nvSpPr>
            <xdr:cNvPr id="98311" name="Check Box 7" hidden="1">
              <a:extLst>
                <a:ext uri="{63B3BB69-23CF-44E3-9099-C40C66FF867C}">
                  <a14:compatExt spid="_x0000_s98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xdr:row>
          <xdr:rowOff>47625</xdr:rowOff>
        </xdr:from>
        <xdr:to>
          <xdr:col>13</xdr:col>
          <xdr:colOff>200025</xdr:colOff>
          <xdr:row>8</xdr:row>
          <xdr:rowOff>257175</xdr:rowOff>
        </xdr:to>
        <xdr:sp macro="" textlink="">
          <xdr:nvSpPr>
            <xdr:cNvPr id="98312" name="Check Box 8" hidden="1">
              <a:extLst>
                <a:ext uri="{63B3BB69-23CF-44E3-9099-C40C66FF867C}">
                  <a14:compatExt spid="_x0000_s98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47625</xdr:rowOff>
        </xdr:from>
        <xdr:to>
          <xdr:col>13</xdr:col>
          <xdr:colOff>200025</xdr:colOff>
          <xdr:row>9</xdr:row>
          <xdr:rowOff>257175</xdr:rowOff>
        </xdr:to>
        <xdr:sp macro="" textlink="">
          <xdr:nvSpPr>
            <xdr:cNvPr id="98313" name="Check Box 9" hidden="1">
              <a:extLst>
                <a:ext uri="{63B3BB69-23CF-44E3-9099-C40C66FF867C}">
                  <a14:compatExt spid="_x0000_s98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47625</xdr:rowOff>
        </xdr:from>
        <xdr:to>
          <xdr:col>13</xdr:col>
          <xdr:colOff>200025</xdr:colOff>
          <xdr:row>10</xdr:row>
          <xdr:rowOff>257175</xdr:rowOff>
        </xdr:to>
        <xdr:sp macro="" textlink="">
          <xdr:nvSpPr>
            <xdr:cNvPr id="98314" name="Check Box 10" hidden="1">
              <a:extLst>
                <a:ext uri="{63B3BB69-23CF-44E3-9099-C40C66FF867C}">
                  <a14:compatExt spid="_x0000_s98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28</xdr:row>
          <xdr:rowOff>47625</xdr:rowOff>
        </xdr:from>
        <xdr:to>
          <xdr:col>19</xdr:col>
          <xdr:colOff>200025</xdr:colOff>
          <xdr:row>28</xdr:row>
          <xdr:rowOff>257175</xdr:rowOff>
        </xdr:to>
        <xdr:sp macro="" textlink="">
          <xdr:nvSpPr>
            <xdr:cNvPr id="98326" name="Check Box 22" hidden="1">
              <a:extLst>
                <a:ext uri="{63B3BB69-23CF-44E3-9099-C40C66FF867C}">
                  <a14:compatExt spid="_x0000_s98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29</xdr:row>
          <xdr:rowOff>47625</xdr:rowOff>
        </xdr:from>
        <xdr:to>
          <xdr:col>19</xdr:col>
          <xdr:colOff>200025</xdr:colOff>
          <xdr:row>29</xdr:row>
          <xdr:rowOff>257175</xdr:rowOff>
        </xdr:to>
        <xdr:sp macro="" textlink="">
          <xdr:nvSpPr>
            <xdr:cNvPr id="98327" name="Check Box 23" hidden="1">
              <a:extLst>
                <a:ext uri="{63B3BB69-23CF-44E3-9099-C40C66FF867C}">
                  <a14:compatExt spid="_x0000_s98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30</xdr:row>
          <xdr:rowOff>47625</xdr:rowOff>
        </xdr:from>
        <xdr:to>
          <xdr:col>19</xdr:col>
          <xdr:colOff>200025</xdr:colOff>
          <xdr:row>30</xdr:row>
          <xdr:rowOff>257175</xdr:rowOff>
        </xdr:to>
        <xdr:sp macro="" textlink="">
          <xdr:nvSpPr>
            <xdr:cNvPr id="98328" name="Check Box 24" hidden="1">
              <a:extLst>
                <a:ext uri="{63B3BB69-23CF-44E3-9099-C40C66FF867C}">
                  <a14:compatExt spid="_x0000_s98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85725</xdr:colOff>
      <xdr:row>19</xdr:row>
      <xdr:rowOff>266700</xdr:rowOff>
    </xdr:from>
    <xdr:to>
      <xdr:col>6</xdr:col>
      <xdr:colOff>219075</xdr:colOff>
      <xdr:row>30</xdr:row>
      <xdr:rowOff>9525</xdr:rowOff>
    </xdr:to>
    <xdr:grpSp>
      <xdr:nvGrpSpPr>
        <xdr:cNvPr id="99437" name="グループ化 2"/>
        <xdr:cNvGrpSpPr>
          <a:grpSpLocks/>
        </xdr:cNvGrpSpPr>
      </xdr:nvGrpSpPr>
      <xdr:grpSpPr bwMode="auto">
        <a:xfrm>
          <a:off x="381000" y="5505450"/>
          <a:ext cx="1609725" cy="2628900"/>
          <a:chOff x="381000" y="5495925"/>
          <a:chExt cx="1609725" cy="2628900"/>
        </a:xfrm>
      </xdr:grpSpPr>
      <xdr:pic>
        <xdr:nvPicPr>
          <xdr:cNvPr id="9943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81000" y="5495925"/>
            <a:ext cx="1609725" cy="2095500"/>
          </a:xfrm>
          <a:prstGeom prst="rect">
            <a:avLst/>
          </a:prstGeom>
          <a:noFill/>
          <a:ln w="9525">
            <a:noFill/>
            <a:miter lim="800000"/>
            <a:headEnd/>
            <a:tailEnd/>
          </a:ln>
        </xdr:spPr>
      </xdr:pic>
      <xdr:sp macro="" textlink="">
        <xdr:nvSpPr>
          <xdr:cNvPr id="5" name="テキスト ボックス 4"/>
          <xdr:cNvSpPr txBox="1"/>
        </xdr:nvSpPr>
        <xdr:spPr>
          <a:xfrm>
            <a:off x="447675" y="7810500"/>
            <a:ext cx="14668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twoCellAnchor editAs="oneCell">
    <xdr:from>
      <xdr:col>28</xdr:col>
      <xdr:colOff>0</xdr:colOff>
      <xdr:row>25</xdr:row>
      <xdr:rowOff>0</xdr:rowOff>
    </xdr:from>
    <xdr:to>
      <xdr:col>51</xdr:col>
      <xdr:colOff>676275</xdr:colOff>
      <xdr:row>34</xdr:row>
      <xdr:rowOff>114300</xdr:rowOff>
    </xdr:to>
    <xdr:pic>
      <xdr:nvPicPr>
        <xdr:cNvPr id="99438" name="図 5"/>
        <xdr:cNvPicPr>
          <a:picLocks noChangeAspect="1" noChangeArrowheads="1"/>
        </xdr:cNvPicPr>
      </xdr:nvPicPr>
      <xdr:blipFill>
        <a:blip xmlns:r="http://schemas.openxmlformats.org/officeDocument/2006/relationships" r:embed="rId2" cstate="print"/>
        <a:srcRect/>
        <a:stretch>
          <a:fillRect/>
        </a:stretch>
      </xdr:blipFill>
      <xdr:spPr bwMode="auto">
        <a:xfrm>
          <a:off x="8267700" y="6743700"/>
          <a:ext cx="5400675" cy="24479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12</xdr:col>
          <xdr:colOff>190500</xdr:colOff>
          <xdr:row>6</xdr:row>
          <xdr:rowOff>47625</xdr:rowOff>
        </xdr:from>
        <xdr:to>
          <xdr:col>13</xdr:col>
          <xdr:colOff>200025</xdr:colOff>
          <xdr:row>6</xdr:row>
          <xdr:rowOff>257175</xdr:rowOff>
        </xdr:to>
        <xdr:sp macro="" textlink="">
          <xdr:nvSpPr>
            <xdr:cNvPr id="99329" name="Check Box 1" hidden="1">
              <a:extLst>
                <a:ext uri="{63B3BB69-23CF-44E3-9099-C40C66FF867C}">
                  <a14:compatExt spid="_x0000_s99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xdr:row>
          <xdr:rowOff>47625</xdr:rowOff>
        </xdr:from>
        <xdr:to>
          <xdr:col>13</xdr:col>
          <xdr:colOff>200025</xdr:colOff>
          <xdr:row>7</xdr:row>
          <xdr:rowOff>257175</xdr:rowOff>
        </xdr:to>
        <xdr:sp macro="" textlink="">
          <xdr:nvSpPr>
            <xdr:cNvPr id="99330" name="Check Box 2" hidden="1">
              <a:extLst>
                <a:ext uri="{63B3BB69-23CF-44E3-9099-C40C66FF867C}">
                  <a14:compatExt spid="_x0000_s99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xdr:row>
          <xdr:rowOff>47625</xdr:rowOff>
        </xdr:from>
        <xdr:to>
          <xdr:col>13</xdr:col>
          <xdr:colOff>200025</xdr:colOff>
          <xdr:row>11</xdr:row>
          <xdr:rowOff>257175</xdr:rowOff>
        </xdr:to>
        <xdr:sp macro="" textlink="">
          <xdr:nvSpPr>
            <xdr:cNvPr id="99331" name="Check Box 3" hidden="1">
              <a:extLst>
                <a:ext uri="{63B3BB69-23CF-44E3-9099-C40C66FF867C}">
                  <a14:compatExt spid="_x0000_s99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12</xdr:row>
          <xdr:rowOff>47625</xdr:rowOff>
        </xdr:from>
        <xdr:to>
          <xdr:col>13</xdr:col>
          <xdr:colOff>200025</xdr:colOff>
          <xdr:row>12</xdr:row>
          <xdr:rowOff>257175</xdr:rowOff>
        </xdr:to>
        <xdr:sp macro="" textlink="">
          <xdr:nvSpPr>
            <xdr:cNvPr id="99332" name="Check Box 4" hidden="1">
              <a:extLst>
                <a:ext uri="{63B3BB69-23CF-44E3-9099-C40C66FF867C}">
                  <a14:compatExt spid="_x0000_s99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13</xdr:row>
          <xdr:rowOff>47625</xdr:rowOff>
        </xdr:from>
        <xdr:to>
          <xdr:col>13</xdr:col>
          <xdr:colOff>200025</xdr:colOff>
          <xdr:row>13</xdr:row>
          <xdr:rowOff>257175</xdr:rowOff>
        </xdr:to>
        <xdr:sp macro="" textlink="">
          <xdr:nvSpPr>
            <xdr:cNvPr id="99333" name="Check Box 5" hidden="1">
              <a:extLst>
                <a:ext uri="{63B3BB69-23CF-44E3-9099-C40C66FF867C}">
                  <a14:compatExt spid="_x0000_s99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14</xdr:row>
          <xdr:rowOff>47625</xdr:rowOff>
        </xdr:from>
        <xdr:to>
          <xdr:col>13</xdr:col>
          <xdr:colOff>200025</xdr:colOff>
          <xdr:row>14</xdr:row>
          <xdr:rowOff>257175</xdr:rowOff>
        </xdr:to>
        <xdr:sp macro="" textlink="">
          <xdr:nvSpPr>
            <xdr:cNvPr id="99334" name="Check Box 6" hidden="1">
              <a:extLst>
                <a:ext uri="{63B3BB69-23CF-44E3-9099-C40C66FF867C}">
                  <a14:compatExt spid="_x0000_s99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15</xdr:row>
          <xdr:rowOff>47625</xdr:rowOff>
        </xdr:from>
        <xdr:to>
          <xdr:col>13</xdr:col>
          <xdr:colOff>200025</xdr:colOff>
          <xdr:row>15</xdr:row>
          <xdr:rowOff>257175</xdr:rowOff>
        </xdr:to>
        <xdr:sp macro="" textlink="">
          <xdr:nvSpPr>
            <xdr:cNvPr id="99335" name="Check Box 7" hidden="1">
              <a:extLst>
                <a:ext uri="{63B3BB69-23CF-44E3-9099-C40C66FF867C}">
                  <a14:compatExt spid="_x0000_s99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xdr:row>
          <xdr:rowOff>47625</xdr:rowOff>
        </xdr:from>
        <xdr:to>
          <xdr:col>13</xdr:col>
          <xdr:colOff>200025</xdr:colOff>
          <xdr:row>8</xdr:row>
          <xdr:rowOff>257175</xdr:rowOff>
        </xdr:to>
        <xdr:sp macro="" textlink="">
          <xdr:nvSpPr>
            <xdr:cNvPr id="99336" name="Check Box 8" hidden="1">
              <a:extLst>
                <a:ext uri="{63B3BB69-23CF-44E3-9099-C40C66FF867C}">
                  <a14:compatExt spid="_x0000_s9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47625</xdr:rowOff>
        </xdr:from>
        <xdr:to>
          <xdr:col>13</xdr:col>
          <xdr:colOff>200025</xdr:colOff>
          <xdr:row>9</xdr:row>
          <xdr:rowOff>257175</xdr:rowOff>
        </xdr:to>
        <xdr:sp macro="" textlink="">
          <xdr:nvSpPr>
            <xdr:cNvPr id="99337" name="Check Box 9" hidden="1">
              <a:extLst>
                <a:ext uri="{63B3BB69-23CF-44E3-9099-C40C66FF867C}">
                  <a14:compatExt spid="_x0000_s99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47625</xdr:rowOff>
        </xdr:from>
        <xdr:to>
          <xdr:col>13</xdr:col>
          <xdr:colOff>200025</xdr:colOff>
          <xdr:row>10</xdr:row>
          <xdr:rowOff>257175</xdr:rowOff>
        </xdr:to>
        <xdr:sp macro="" textlink="">
          <xdr:nvSpPr>
            <xdr:cNvPr id="99338" name="Check Box 10" hidden="1">
              <a:extLst>
                <a:ext uri="{63B3BB69-23CF-44E3-9099-C40C66FF867C}">
                  <a14:compatExt spid="_x0000_s9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28</xdr:row>
          <xdr:rowOff>47625</xdr:rowOff>
        </xdr:from>
        <xdr:to>
          <xdr:col>19</xdr:col>
          <xdr:colOff>200025</xdr:colOff>
          <xdr:row>28</xdr:row>
          <xdr:rowOff>257175</xdr:rowOff>
        </xdr:to>
        <xdr:sp macro="" textlink="">
          <xdr:nvSpPr>
            <xdr:cNvPr id="99350" name="Check Box 22" hidden="1">
              <a:extLst>
                <a:ext uri="{63B3BB69-23CF-44E3-9099-C40C66FF867C}">
                  <a14:compatExt spid="_x0000_s99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29</xdr:row>
          <xdr:rowOff>47625</xdr:rowOff>
        </xdr:from>
        <xdr:to>
          <xdr:col>19</xdr:col>
          <xdr:colOff>200025</xdr:colOff>
          <xdr:row>29</xdr:row>
          <xdr:rowOff>257175</xdr:rowOff>
        </xdr:to>
        <xdr:sp macro="" textlink="">
          <xdr:nvSpPr>
            <xdr:cNvPr id="99351" name="Check Box 23" hidden="1">
              <a:extLst>
                <a:ext uri="{63B3BB69-23CF-44E3-9099-C40C66FF867C}">
                  <a14:compatExt spid="_x0000_s99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30</xdr:row>
          <xdr:rowOff>47625</xdr:rowOff>
        </xdr:from>
        <xdr:to>
          <xdr:col>19</xdr:col>
          <xdr:colOff>200025</xdr:colOff>
          <xdr:row>30</xdr:row>
          <xdr:rowOff>257175</xdr:rowOff>
        </xdr:to>
        <xdr:sp macro="" textlink="">
          <xdr:nvSpPr>
            <xdr:cNvPr id="99352" name="Check Box 24" hidden="1">
              <a:extLst>
                <a:ext uri="{63B3BB69-23CF-44E3-9099-C40C66FF867C}">
                  <a14:compatExt spid="_x0000_s99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95250</xdr:colOff>
      <xdr:row>19</xdr:row>
      <xdr:rowOff>266700</xdr:rowOff>
    </xdr:from>
    <xdr:to>
      <xdr:col>6</xdr:col>
      <xdr:colOff>228600</xdr:colOff>
      <xdr:row>30</xdr:row>
      <xdr:rowOff>9525</xdr:rowOff>
    </xdr:to>
    <xdr:grpSp>
      <xdr:nvGrpSpPr>
        <xdr:cNvPr id="100461" name="グループ化 2"/>
        <xdr:cNvGrpSpPr>
          <a:grpSpLocks/>
        </xdr:cNvGrpSpPr>
      </xdr:nvGrpSpPr>
      <xdr:grpSpPr bwMode="auto">
        <a:xfrm>
          <a:off x="390525" y="5505450"/>
          <a:ext cx="1609725" cy="2628900"/>
          <a:chOff x="381000" y="5495925"/>
          <a:chExt cx="1609725" cy="2628900"/>
        </a:xfrm>
      </xdr:grpSpPr>
      <xdr:pic>
        <xdr:nvPicPr>
          <xdr:cNvPr id="10046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81000" y="5495925"/>
            <a:ext cx="1609725" cy="2095500"/>
          </a:xfrm>
          <a:prstGeom prst="rect">
            <a:avLst/>
          </a:prstGeom>
          <a:noFill/>
          <a:ln w="9525">
            <a:noFill/>
            <a:miter lim="800000"/>
            <a:headEnd/>
            <a:tailEnd/>
          </a:ln>
        </xdr:spPr>
      </xdr:pic>
      <xdr:sp macro="" textlink="">
        <xdr:nvSpPr>
          <xdr:cNvPr id="5" name="テキスト ボックス 4"/>
          <xdr:cNvSpPr txBox="1"/>
        </xdr:nvSpPr>
        <xdr:spPr>
          <a:xfrm>
            <a:off x="447675" y="7810500"/>
            <a:ext cx="14668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twoCellAnchor editAs="oneCell">
    <xdr:from>
      <xdr:col>28</xdr:col>
      <xdr:colOff>0</xdr:colOff>
      <xdr:row>25</xdr:row>
      <xdr:rowOff>0</xdr:rowOff>
    </xdr:from>
    <xdr:to>
      <xdr:col>51</xdr:col>
      <xdr:colOff>676275</xdr:colOff>
      <xdr:row>34</xdr:row>
      <xdr:rowOff>114300</xdr:rowOff>
    </xdr:to>
    <xdr:pic>
      <xdr:nvPicPr>
        <xdr:cNvPr id="100462" name="図 5"/>
        <xdr:cNvPicPr>
          <a:picLocks noChangeAspect="1" noChangeArrowheads="1"/>
        </xdr:cNvPicPr>
      </xdr:nvPicPr>
      <xdr:blipFill>
        <a:blip xmlns:r="http://schemas.openxmlformats.org/officeDocument/2006/relationships" r:embed="rId2" cstate="print"/>
        <a:srcRect/>
        <a:stretch>
          <a:fillRect/>
        </a:stretch>
      </xdr:blipFill>
      <xdr:spPr bwMode="auto">
        <a:xfrm>
          <a:off x="8267700" y="6743700"/>
          <a:ext cx="5400675" cy="24479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12</xdr:col>
          <xdr:colOff>190500</xdr:colOff>
          <xdr:row>6</xdr:row>
          <xdr:rowOff>47625</xdr:rowOff>
        </xdr:from>
        <xdr:to>
          <xdr:col>13</xdr:col>
          <xdr:colOff>200025</xdr:colOff>
          <xdr:row>6</xdr:row>
          <xdr:rowOff>257175</xdr:rowOff>
        </xdr:to>
        <xdr:sp macro="" textlink="">
          <xdr:nvSpPr>
            <xdr:cNvPr id="100353" name="Check Box 1" hidden="1">
              <a:extLst>
                <a:ext uri="{63B3BB69-23CF-44E3-9099-C40C66FF867C}">
                  <a14:compatExt spid="_x0000_s10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xdr:row>
          <xdr:rowOff>47625</xdr:rowOff>
        </xdr:from>
        <xdr:to>
          <xdr:col>13</xdr:col>
          <xdr:colOff>200025</xdr:colOff>
          <xdr:row>7</xdr:row>
          <xdr:rowOff>257175</xdr:rowOff>
        </xdr:to>
        <xdr:sp macro="" textlink="">
          <xdr:nvSpPr>
            <xdr:cNvPr id="100354" name="Check Box 2" hidden="1">
              <a:extLst>
                <a:ext uri="{63B3BB69-23CF-44E3-9099-C40C66FF867C}">
                  <a14:compatExt spid="_x0000_s100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xdr:row>
          <xdr:rowOff>47625</xdr:rowOff>
        </xdr:from>
        <xdr:to>
          <xdr:col>13</xdr:col>
          <xdr:colOff>200025</xdr:colOff>
          <xdr:row>11</xdr:row>
          <xdr:rowOff>257175</xdr:rowOff>
        </xdr:to>
        <xdr:sp macro="" textlink="">
          <xdr:nvSpPr>
            <xdr:cNvPr id="100355" name="Check Box 3" hidden="1">
              <a:extLst>
                <a:ext uri="{63B3BB69-23CF-44E3-9099-C40C66FF867C}">
                  <a14:compatExt spid="_x0000_s100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12</xdr:row>
          <xdr:rowOff>47625</xdr:rowOff>
        </xdr:from>
        <xdr:to>
          <xdr:col>13</xdr:col>
          <xdr:colOff>200025</xdr:colOff>
          <xdr:row>12</xdr:row>
          <xdr:rowOff>257175</xdr:rowOff>
        </xdr:to>
        <xdr:sp macro="" textlink="">
          <xdr:nvSpPr>
            <xdr:cNvPr id="100356" name="Check Box 4" hidden="1">
              <a:extLst>
                <a:ext uri="{63B3BB69-23CF-44E3-9099-C40C66FF867C}">
                  <a14:compatExt spid="_x0000_s100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13</xdr:row>
          <xdr:rowOff>47625</xdr:rowOff>
        </xdr:from>
        <xdr:to>
          <xdr:col>13</xdr:col>
          <xdr:colOff>200025</xdr:colOff>
          <xdr:row>13</xdr:row>
          <xdr:rowOff>257175</xdr:rowOff>
        </xdr:to>
        <xdr:sp macro="" textlink="">
          <xdr:nvSpPr>
            <xdr:cNvPr id="100357" name="Check Box 5" hidden="1">
              <a:extLst>
                <a:ext uri="{63B3BB69-23CF-44E3-9099-C40C66FF867C}">
                  <a14:compatExt spid="_x0000_s10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14</xdr:row>
          <xdr:rowOff>47625</xdr:rowOff>
        </xdr:from>
        <xdr:to>
          <xdr:col>13</xdr:col>
          <xdr:colOff>200025</xdr:colOff>
          <xdr:row>14</xdr:row>
          <xdr:rowOff>257175</xdr:rowOff>
        </xdr:to>
        <xdr:sp macro="" textlink="">
          <xdr:nvSpPr>
            <xdr:cNvPr id="100358" name="Check Box 6" hidden="1">
              <a:extLst>
                <a:ext uri="{63B3BB69-23CF-44E3-9099-C40C66FF867C}">
                  <a14:compatExt spid="_x0000_s10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15</xdr:row>
          <xdr:rowOff>47625</xdr:rowOff>
        </xdr:from>
        <xdr:to>
          <xdr:col>13</xdr:col>
          <xdr:colOff>200025</xdr:colOff>
          <xdr:row>15</xdr:row>
          <xdr:rowOff>257175</xdr:rowOff>
        </xdr:to>
        <xdr:sp macro="" textlink="">
          <xdr:nvSpPr>
            <xdr:cNvPr id="100359" name="Check Box 7" hidden="1">
              <a:extLst>
                <a:ext uri="{63B3BB69-23CF-44E3-9099-C40C66FF867C}">
                  <a14:compatExt spid="_x0000_s100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xdr:row>
          <xdr:rowOff>47625</xdr:rowOff>
        </xdr:from>
        <xdr:to>
          <xdr:col>13</xdr:col>
          <xdr:colOff>200025</xdr:colOff>
          <xdr:row>8</xdr:row>
          <xdr:rowOff>257175</xdr:rowOff>
        </xdr:to>
        <xdr:sp macro="" textlink="">
          <xdr:nvSpPr>
            <xdr:cNvPr id="100360" name="Check Box 8" hidden="1">
              <a:extLst>
                <a:ext uri="{63B3BB69-23CF-44E3-9099-C40C66FF867C}">
                  <a14:compatExt spid="_x0000_s100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47625</xdr:rowOff>
        </xdr:from>
        <xdr:to>
          <xdr:col>13</xdr:col>
          <xdr:colOff>200025</xdr:colOff>
          <xdr:row>9</xdr:row>
          <xdr:rowOff>257175</xdr:rowOff>
        </xdr:to>
        <xdr:sp macro="" textlink="">
          <xdr:nvSpPr>
            <xdr:cNvPr id="100361" name="Check Box 9" hidden="1">
              <a:extLst>
                <a:ext uri="{63B3BB69-23CF-44E3-9099-C40C66FF867C}">
                  <a14:compatExt spid="_x0000_s100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47625</xdr:rowOff>
        </xdr:from>
        <xdr:to>
          <xdr:col>13</xdr:col>
          <xdr:colOff>200025</xdr:colOff>
          <xdr:row>10</xdr:row>
          <xdr:rowOff>257175</xdr:rowOff>
        </xdr:to>
        <xdr:sp macro="" textlink="">
          <xdr:nvSpPr>
            <xdr:cNvPr id="100362" name="Check Box 10" hidden="1">
              <a:extLst>
                <a:ext uri="{63B3BB69-23CF-44E3-9099-C40C66FF867C}">
                  <a14:compatExt spid="_x0000_s100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28</xdr:row>
          <xdr:rowOff>47625</xdr:rowOff>
        </xdr:from>
        <xdr:to>
          <xdr:col>19</xdr:col>
          <xdr:colOff>200025</xdr:colOff>
          <xdr:row>28</xdr:row>
          <xdr:rowOff>257175</xdr:rowOff>
        </xdr:to>
        <xdr:sp macro="" textlink="">
          <xdr:nvSpPr>
            <xdr:cNvPr id="100375" name="Check Box 23" hidden="1">
              <a:extLst>
                <a:ext uri="{63B3BB69-23CF-44E3-9099-C40C66FF867C}">
                  <a14:compatExt spid="_x0000_s100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29</xdr:row>
          <xdr:rowOff>47625</xdr:rowOff>
        </xdr:from>
        <xdr:to>
          <xdr:col>19</xdr:col>
          <xdr:colOff>200025</xdr:colOff>
          <xdr:row>29</xdr:row>
          <xdr:rowOff>257175</xdr:rowOff>
        </xdr:to>
        <xdr:sp macro="" textlink="">
          <xdr:nvSpPr>
            <xdr:cNvPr id="100376" name="Check Box 24" hidden="1">
              <a:extLst>
                <a:ext uri="{63B3BB69-23CF-44E3-9099-C40C66FF867C}">
                  <a14:compatExt spid="_x0000_s100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30</xdr:row>
          <xdr:rowOff>47625</xdr:rowOff>
        </xdr:from>
        <xdr:to>
          <xdr:col>19</xdr:col>
          <xdr:colOff>200025</xdr:colOff>
          <xdr:row>30</xdr:row>
          <xdr:rowOff>257175</xdr:rowOff>
        </xdr:to>
        <xdr:sp macro="" textlink="">
          <xdr:nvSpPr>
            <xdr:cNvPr id="100377" name="Check Box 25" hidden="1">
              <a:extLst>
                <a:ext uri="{63B3BB69-23CF-44E3-9099-C40C66FF867C}">
                  <a14:compatExt spid="_x0000_s100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95250</xdr:colOff>
      <xdr:row>19</xdr:row>
      <xdr:rowOff>257175</xdr:rowOff>
    </xdr:from>
    <xdr:to>
      <xdr:col>6</xdr:col>
      <xdr:colOff>228600</xdr:colOff>
      <xdr:row>30</xdr:row>
      <xdr:rowOff>0</xdr:rowOff>
    </xdr:to>
    <xdr:grpSp>
      <xdr:nvGrpSpPr>
        <xdr:cNvPr id="101484" name="グループ化 2"/>
        <xdr:cNvGrpSpPr>
          <a:grpSpLocks/>
        </xdr:cNvGrpSpPr>
      </xdr:nvGrpSpPr>
      <xdr:grpSpPr bwMode="auto">
        <a:xfrm>
          <a:off x="390525" y="5495925"/>
          <a:ext cx="1609725" cy="2628900"/>
          <a:chOff x="381000" y="5495925"/>
          <a:chExt cx="1609725" cy="2628900"/>
        </a:xfrm>
      </xdr:grpSpPr>
      <xdr:pic>
        <xdr:nvPicPr>
          <xdr:cNvPr id="101486"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81000" y="5495925"/>
            <a:ext cx="1609725" cy="2095500"/>
          </a:xfrm>
          <a:prstGeom prst="rect">
            <a:avLst/>
          </a:prstGeom>
          <a:noFill/>
          <a:ln w="9525">
            <a:noFill/>
            <a:miter lim="800000"/>
            <a:headEnd/>
            <a:tailEnd/>
          </a:ln>
        </xdr:spPr>
      </xdr:pic>
      <xdr:sp macro="" textlink="">
        <xdr:nvSpPr>
          <xdr:cNvPr id="5" name="テキスト ボックス 4"/>
          <xdr:cNvSpPr txBox="1"/>
        </xdr:nvSpPr>
        <xdr:spPr>
          <a:xfrm>
            <a:off x="447675" y="7810500"/>
            <a:ext cx="14668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twoCellAnchor editAs="oneCell">
    <xdr:from>
      <xdr:col>28</xdr:col>
      <xdr:colOff>0</xdr:colOff>
      <xdr:row>25</xdr:row>
      <xdr:rowOff>0</xdr:rowOff>
    </xdr:from>
    <xdr:to>
      <xdr:col>51</xdr:col>
      <xdr:colOff>676275</xdr:colOff>
      <xdr:row>34</xdr:row>
      <xdr:rowOff>114300</xdr:rowOff>
    </xdr:to>
    <xdr:pic>
      <xdr:nvPicPr>
        <xdr:cNvPr id="101485" name="図 5"/>
        <xdr:cNvPicPr>
          <a:picLocks noChangeAspect="1" noChangeArrowheads="1"/>
        </xdr:cNvPicPr>
      </xdr:nvPicPr>
      <xdr:blipFill>
        <a:blip xmlns:r="http://schemas.openxmlformats.org/officeDocument/2006/relationships" r:embed="rId2" cstate="print"/>
        <a:srcRect/>
        <a:stretch>
          <a:fillRect/>
        </a:stretch>
      </xdr:blipFill>
      <xdr:spPr bwMode="auto">
        <a:xfrm>
          <a:off x="8267700" y="6743700"/>
          <a:ext cx="5400675" cy="24479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12</xdr:col>
          <xdr:colOff>190500</xdr:colOff>
          <xdr:row>6</xdr:row>
          <xdr:rowOff>47625</xdr:rowOff>
        </xdr:from>
        <xdr:to>
          <xdr:col>13</xdr:col>
          <xdr:colOff>200025</xdr:colOff>
          <xdr:row>6</xdr:row>
          <xdr:rowOff>257175</xdr:rowOff>
        </xdr:to>
        <xdr:sp macro="" textlink="">
          <xdr:nvSpPr>
            <xdr:cNvPr id="101377" name="Check Box 1" hidden="1">
              <a:extLst>
                <a:ext uri="{63B3BB69-23CF-44E3-9099-C40C66FF867C}">
                  <a14:compatExt spid="_x0000_s10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xdr:row>
          <xdr:rowOff>47625</xdr:rowOff>
        </xdr:from>
        <xdr:to>
          <xdr:col>13</xdr:col>
          <xdr:colOff>200025</xdr:colOff>
          <xdr:row>7</xdr:row>
          <xdr:rowOff>257175</xdr:rowOff>
        </xdr:to>
        <xdr:sp macro="" textlink="">
          <xdr:nvSpPr>
            <xdr:cNvPr id="101378" name="Check Box 2" hidden="1">
              <a:extLst>
                <a:ext uri="{63B3BB69-23CF-44E3-9099-C40C66FF867C}">
                  <a14:compatExt spid="_x0000_s10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xdr:row>
          <xdr:rowOff>47625</xdr:rowOff>
        </xdr:from>
        <xdr:to>
          <xdr:col>13</xdr:col>
          <xdr:colOff>200025</xdr:colOff>
          <xdr:row>11</xdr:row>
          <xdr:rowOff>257175</xdr:rowOff>
        </xdr:to>
        <xdr:sp macro="" textlink="">
          <xdr:nvSpPr>
            <xdr:cNvPr id="101379" name="Check Box 3" hidden="1">
              <a:extLst>
                <a:ext uri="{63B3BB69-23CF-44E3-9099-C40C66FF867C}">
                  <a14:compatExt spid="_x0000_s10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12</xdr:row>
          <xdr:rowOff>47625</xdr:rowOff>
        </xdr:from>
        <xdr:to>
          <xdr:col>13</xdr:col>
          <xdr:colOff>200025</xdr:colOff>
          <xdr:row>12</xdr:row>
          <xdr:rowOff>257175</xdr:rowOff>
        </xdr:to>
        <xdr:sp macro="" textlink="">
          <xdr:nvSpPr>
            <xdr:cNvPr id="101380" name="Check Box 4" hidden="1">
              <a:extLst>
                <a:ext uri="{63B3BB69-23CF-44E3-9099-C40C66FF867C}">
                  <a14:compatExt spid="_x0000_s10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13</xdr:row>
          <xdr:rowOff>47625</xdr:rowOff>
        </xdr:from>
        <xdr:to>
          <xdr:col>13</xdr:col>
          <xdr:colOff>200025</xdr:colOff>
          <xdr:row>13</xdr:row>
          <xdr:rowOff>257175</xdr:rowOff>
        </xdr:to>
        <xdr:sp macro="" textlink="">
          <xdr:nvSpPr>
            <xdr:cNvPr id="101381" name="Check Box 5" hidden="1">
              <a:extLst>
                <a:ext uri="{63B3BB69-23CF-44E3-9099-C40C66FF867C}">
                  <a14:compatExt spid="_x0000_s10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14</xdr:row>
          <xdr:rowOff>47625</xdr:rowOff>
        </xdr:from>
        <xdr:to>
          <xdr:col>13</xdr:col>
          <xdr:colOff>200025</xdr:colOff>
          <xdr:row>14</xdr:row>
          <xdr:rowOff>257175</xdr:rowOff>
        </xdr:to>
        <xdr:sp macro="" textlink="">
          <xdr:nvSpPr>
            <xdr:cNvPr id="101382" name="Check Box 6" hidden="1">
              <a:extLst>
                <a:ext uri="{63B3BB69-23CF-44E3-9099-C40C66FF867C}">
                  <a14:compatExt spid="_x0000_s10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15</xdr:row>
          <xdr:rowOff>47625</xdr:rowOff>
        </xdr:from>
        <xdr:to>
          <xdr:col>13</xdr:col>
          <xdr:colOff>200025</xdr:colOff>
          <xdr:row>15</xdr:row>
          <xdr:rowOff>257175</xdr:rowOff>
        </xdr:to>
        <xdr:sp macro="" textlink="">
          <xdr:nvSpPr>
            <xdr:cNvPr id="101383" name="Check Box 7" hidden="1">
              <a:extLst>
                <a:ext uri="{63B3BB69-23CF-44E3-9099-C40C66FF867C}">
                  <a14:compatExt spid="_x0000_s10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xdr:row>
          <xdr:rowOff>47625</xdr:rowOff>
        </xdr:from>
        <xdr:to>
          <xdr:col>13</xdr:col>
          <xdr:colOff>200025</xdr:colOff>
          <xdr:row>8</xdr:row>
          <xdr:rowOff>257175</xdr:rowOff>
        </xdr:to>
        <xdr:sp macro="" textlink="">
          <xdr:nvSpPr>
            <xdr:cNvPr id="101384" name="Check Box 8" hidden="1">
              <a:extLst>
                <a:ext uri="{63B3BB69-23CF-44E3-9099-C40C66FF867C}">
                  <a14:compatExt spid="_x0000_s10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47625</xdr:rowOff>
        </xdr:from>
        <xdr:to>
          <xdr:col>13</xdr:col>
          <xdr:colOff>200025</xdr:colOff>
          <xdr:row>9</xdr:row>
          <xdr:rowOff>257175</xdr:rowOff>
        </xdr:to>
        <xdr:sp macro="" textlink="">
          <xdr:nvSpPr>
            <xdr:cNvPr id="101385" name="Check Box 9" hidden="1">
              <a:extLst>
                <a:ext uri="{63B3BB69-23CF-44E3-9099-C40C66FF867C}">
                  <a14:compatExt spid="_x0000_s10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47625</xdr:rowOff>
        </xdr:from>
        <xdr:to>
          <xdr:col>13</xdr:col>
          <xdr:colOff>200025</xdr:colOff>
          <xdr:row>10</xdr:row>
          <xdr:rowOff>257175</xdr:rowOff>
        </xdr:to>
        <xdr:sp macro="" textlink="">
          <xdr:nvSpPr>
            <xdr:cNvPr id="101386" name="Check Box 10" hidden="1">
              <a:extLst>
                <a:ext uri="{63B3BB69-23CF-44E3-9099-C40C66FF867C}">
                  <a14:compatExt spid="_x0000_s10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28</xdr:row>
          <xdr:rowOff>47625</xdr:rowOff>
        </xdr:from>
        <xdr:to>
          <xdr:col>19</xdr:col>
          <xdr:colOff>200025</xdr:colOff>
          <xdr:row>28</xdr:row>
          <xdr:rowOff>257175</xdr:rowOff>
        </xdr:to>
        <xdr:sp macro="" textlink="">
          <xdr:nvSpPr>
            <xdr:cNvPr id="101398" name="Check Box 22" hidden="1">
              <a:extLst>
                <a:ext uri="{63B3BB69-23CF-44E3-9099-C40C66FF867C}">
                  <a14:compatExt spid="_x0000_s10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29</xdr:row>
          <xdr:rowOff>47625</xdr:rowOff>
        </xdr:from>
        <xdr:to>
          <xdr:col>19</xdr:col>
          <xdr:colOff>200025</xdr:colOff>
          <xdr:row>29</xdr:row>
          <xdr:rowOff>257175</xdr:rowOff>
        </xdr:to>
        <xdr:sp macro="" textlink="">
          <xdr:nvSpPr>
            <xdr:cNvPr id="101399" name="Check Box 23" hidden="1">
              <a:extLst>
                <a:ext uri="{63B3BB69-23CF-44E3-9099-C40C66FF867C}">
                  <a14:compatExt spid="_x0000_s10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30</xdr:row>
          <xdr:rowOff>47625</xdr:rowOff>
        </xdr:from>
        <xdr:to>
          <xdr:col>19</xdr:col>
          <xdr:colOff>200025</xdr:colOff>
          <xdr:row>30</xdr:row>
          <xdr:rowOff>257175</xdr:rowOff>
        </xdr:to>
        <xdr:sp macro="" textlink="">
          <xdr:nvSpPr>
            <xdr:cNvPr id="101400" name="Check Box 24" hidden="1">
              <a:extLst>
                <a:ext uri="{63B3BB69-23CF-44E3-9099-C40C66FF867C}">
                  <a14:compatExt spid="_x0000_s10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85725</xdr:colOff>
      <xdr:row>19</xdr:row>
      <xdr:rowOff>257175</xdr:rowOff>
    </xdr:from>
    <xdr:to>
      <xdr:col>6</xdr:col>
      <xdr:colOff>219075</xdr:colOff>
      <xdr:row>30</xdr:row>
      <xdr:rowOff>0</xdr:rowOff>
    </xdr:to>
    <xdr:grpSp>
      <xdr:nvGrpSpPr>
        <xdr:cNvPr id="102508" name="グループ化 2"/>
        <xdr:cNvGrpSpPr>
          <a:grpSpLocks/>
        </xdr:cNvGrpSpPr>
      </xdr:nvGrpSpPr>
      <xdr:grpSpPr bwMode="auto">
        <a:xfrm>
          <a:off x="381000" y="5495925"/>
          <a:ext cx="1609725" cy="2628900"/>
          <a:chOff x="381000" y="5495925"/>
          <a:chExt cx="1609725" cy="2628900"/>
        </a:xfrm>
      </xdr:grpSpPr>
      <xdr:pic>
        <xdr:nvPicPr>
          <xdr:cNvPr id="102510"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81000" y="5495925"/>
            <a:ext cx="1609725" cy="2095500"/>
          </a:xfrm>
          <a:prstGeom prst="rect">
            <a:avLst/>
          </a:prstGeom>
          <a:noFill/>
          <a:ln w="9525">
            <a:noFill/>
            <a:miter lim="800000"/>
            <a:headEnd/>
            <a:tailEnd/>
          </a:ln>
        </xdr:spPr>
      </xdr:pic>
      <xdr:sp macro="" textlink="">
        <xdr:nvSpPr>
          <xdr:cNvPr id="5" name="テキスト ボックス 4"/>
          <xdr:cNvSpPr txBox="1"/>
        </xdr:nvSpPr>
        <xdr:spPr>
          <a:xfrm>
            <a:off x="447675" y="7810500"/>
            <a:ext cx="14668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twoCellAnchor editAs="oneCell">
    <xdr:from>
      <xdr:col>28</xdr:col>
      <xdr:colOff>0</xdr:colOff>
      <xdr:row>25</xdr:row>
      <xdr:rowOff>0</xdr:rowOff>
    </xdr:from>
    <xdr:to>
      <xdr:col>51</xdr:col>
      <xdr:colOff>676275</xdr:colOff>
      <xdr:row>34</xdr:row>
      <xdr:rowOff>114300</xdr:rowOff>
    </xdr:to>
    <xdr:pic>
      <xdr:nvPicPr>
        <xdr:cNvPr id="102509" name="図 5"/>
        <xdr:cNvPicPr>
          <a:picLocks noChangeAspect="1" noChangeArrowheads="1"/>
        </xdr:cNvPicPr>
      </xdr:nvPicPr>
      <xdr:blipFill>
        <a:blip xmlns:r="http://schemas.openxmlformats.org/officeDocument/2006/relationships" r:embed="rId2" cstate="print"/>
        <a:srcRect/>
        <a:stretch>
          <a:fillRect/>
        </a:stretch>
      </xdr:blipFill>
      <xdr:spPr bwMode="auto">
        <a:xfrm>
          <a:off x="8267700" y="6743700"/>
          <a:ext cx="5400675" cy="24479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12</xdr:col>
          <xdr:colOff>190500</xdr:colOff>
          <xdr:row>6</xdr:row>
          <xdr:rowOff>47625</xdr:rowOff>
        </xdr:from>
        <xdr:to>
          <xdr:col>13</xdr:col>
          <xdr:colOff>200025</xdr:colOff>
          <xdr:row>6</xdr:row>
          <xdr:rowOff>257175</xdr:rowOff>
        </xdr:to>
        <xdr:sp macro="" textlink="">
          <xdr:nvSpPr>
            <xdr:cNvPr id="102401" name="Check Box 1" hidden="1">
              <a:extLst>
                <a:ext uri="{63B3BB69-23CF-44E3-9099-C40C66FF867C}">
                  <a14:compatExt spid="_x0000_s10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xdr:row>
          <xdr:rowOff>47625</xdr:rowOff>
        </xdr:from>
        <xdr:to>
          <xdr:col>13</xdr:col>
          <xdr:colOff>200025</xdr:colOff>
          <xdr:row>7</xdr:row>
          <xdr:rowOff>257175</xdr:rowOff>
        </xdr:to>
        <xdr:sp macro="" textlink="">
          <xdr:nvSpPr>
            <xdr:cNvPr id="102402" name="Check Box 2" hidden="1">
              <a:extLst>
                <a:ext uri="{63B3BB69-23CF-44E3-9099-C40C66FF867C}">
                  <a14:compatExt spid="_x0000_s10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xdr:row>
          <xdr:rowOff>47625</xdr:rowOff>
        </xdr:from>
        <xdr:to>
          <xdr:col>13</xdr:col>
          <xdr:colOff>200025</xdr:colOff>
          <xdr:row>11</xdr:row>
          <xdr:rowOff>257175</xdr:rowOff>
        </xdr:to>
        <xdr:sp macro="" textlink="">
          <xdr:nvSpPr>
            <xdr:cNvPr id="102403" name="Check Box 3" hidden="1">
              <a:extLst>
                <a:ext uri="{63B3BB69-23CF-44E3-9099-C40C66FF867C}">
                  <a14:compatExt spid="_x0000_s10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12</xdr:row>
          <xdr:rowOff>47625</xdr:rowOff>
        </xdr:from>
        <xdr:to>
          <xdr:col>13</xdr:col>
          <xdr:colOff>200025</xdr:colOff>
          <xdr:row>12</xdr:row>
          <xdr:rowOff>257175</xdr:rowOff>
        </xdr:to>
        <xdr:sp macro="" textlink="">
          <xdr:nvSpPr>
            <xdr:cNvPr id="102404" name="Check Box 4" hidden="1">
              <a:extLst>
                <a:ext uri="{63B3BB69-23CF-44E3-9099-C40C66FF867C}">
                  <a14:compatExt spid="_x0000_s10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13</xdr:row>
          <xdr:rowOff>47625</xdr:rowOff>
        </xdr:from>
        <xdr:to>
          <xdr:col>13</xdr:col>
          <xdr:colOff>200025</xdr:colOff>
          <xdr:row>13</xdr:row>
          <xdr:rowOff>257175</xdr:rowOff>
        </xdr:to>
        <xdr:sp macro="" textlink="">
          <xdr:nvSpPr>
            <xdr:cNvPr id="102405" name="Check Box 5" hidden="1">
              <a:extLst>
                <a:ext uri="{63B3BB69-23CF-44E3-9099-C40C66FF867C}">
                  <a14:compatExt spid="_x0000_s10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14</xdr:row>
          <xdr:rowOff>47625</xdr:rowOff>
        </xdr:from>
        <xdr:to>
          <xdr:col>13</xdr:col>
          <xdr:colOff>200025</xdr:colOff>
          <xdr:row>14</xdr:row>
          <xdr:rowOff>257175</xdr:rowOff>
        </xdr:to>
        <xdr:sp macro="" textlink="">
          <xdr:nvSpPr>
            <xdr:cNvPr id="102406" name="Check Box 6" hidden="1">
              <a:extLst>
                <a:ext uri="{63B3BB69-23CF-44E3-9099-C40C66FF867C}">
                  <a14:compatExt spid="_x0000_s10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15</xdr:row>
          <xdr:rowOff>47625</xdr:rowOff>
        </xdr:from>
        <xdr:to>
          <xdr:col>13</xdr:col>
          <xdr:colOff>200025</xdr:colOff>
          <xdr:row>15</xdr:row>
          <xdr:rowOff>257175</xdr:rowOff>
        </xdr:to>
        <xdr:sp macro="" textlink="">
          <xdr:nvSpPr>
            <xdr:cNvPr id="102407" name="Check Box 7" hidden="1">
              <a:extLst>
                <a:ext uri="{63B3BB69-23CF-44E3-9099-C40C66FF867C}">
                  <a14:compatExt spid="_x0000_s10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xdr:row>
          <xdr:rowOff>47625</xdr:rowOff>
        </xdr:from>
        <xdr:to>
          <xdr:col>13</xdr:col>
          <xdr:colOff>200025</xdr:colOff>
          <xdr:row>8</xdr:row>
          <xdr:rowOff>257175</xdr:rowOff>
        </xdr:to>
        <xdr:sp macro="" textlink="">
          <xdr:nvSpPr>
            <xdr:cNvPr id="102408" name="Check Box 8" hidden="1">
              <a:extLst>
                <a:ext uri="{63B3BB69-23CF-44E3-9099-C40C66FF867C}">
                  <a14:compatExt spid="_x0000_s10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47625</xdr:rowOff>
        </xdr:from>
        <xdr:to>
          <xdr:col>13</xdr:col>
          <xdr:colOff>200025</xdr:colOff>
          <xdr:row>9</xdr:row>
          <xdr:rowOff>257175</xdr:rowOff>
        </xdr:to>
        <xdr:sp macro="" textlink="">
          <xdr:nvSpPr>
            <xdr:cNvPr id="102409" name="Check Box 9" hidden="1">
              <a:extLst>
                <a:ext uri="{63B3BB69-23CF-44E3-9099-C40C66FF867C}">
                  <a14:compatExt spid="_x0000_s10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47625</xdr:rowOff>
        </xdr:from>
        <xdr:to>
          <xdr:col>13</xdr:col>
          <xdr:colOff>200025</xdr:colOff>
          <xdr:row>10</xdr:row>
          <xdr:rowOff>257175</xdr:rowOff>
        </xdr:to>
        <xdr:sp macro="" textlink="">
          <xdr:nvSpPr>
            <xdr:cNvPr id="102410" name="Check Box 10" hidden="1">
              <a:extLst>
                <a:ext uri="{63B3BB69-23CF-44E3-9099-C40C66FF867C}">
                  <a14:compatExt spid="_x0000_s10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28</xdr:row>
          <xdr:rowOff>47625</xdr:rowOff>
        </xdr:from>
        <xdr:to>
          <xdr:col>19</xdr:col>
          <xdr:colOff>200025</xdr:colOff>
          <xdr:row>28</xdr:row>
          <xdr:rowOff>257175</xdr:rowOff>
        </xdr:to>
        <xdr:sp macro="" textlink="">
          <xdr:nvSpPr>
            <xdr:cNvPr id="102422" name="Check Box 22" hidden="1">
              <a:extLst>
                <a:ext uri="{63B3BB69-23CF-44E3-9099-C40C66FF867C}">
                  <a14:compatExt spid="_x0000_s10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29</xdr:row>
          <xdr:rowOff>47625</xdr:rowOff>
        </xdr:from>
        <xdr:to>
          <xdr:col>19</xdr:col>
          <xdr:colOff>200025</xdr:colOff>
          <xdr:row>29</xdr:row>
          <xdr:rowOff>257175</xdr:rowOff>
        </xdr:to>
        <xdr:sp macro="" textlink="">
          <xdr:nvSpPr>
            <xdr:cNvPr id="102423" name="Check Box 23" hidden="1">
              <a:extLst>
                <a:ext uri="{63B3BB69-23CF-44E3-9099-C40C66FF867C}">
                  <a14:compatExt spid="_x0000_s102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30</xdr:row>
          <xdr:rowOff>47625</xdr:rowOff>
        </xdr:from>
        <xdr:to>
          <xdr:col>19</xdr:col>
          <xdr:colOff>200025</xdr:colOff>
          <xdr:row>30</xdr:row>
          <xdr:rowOff>257175</xdr:rowOff>
        </xdr:to>
        <xdr:sp macro="" textlink="">
          <xdr:nvSpPr>
            <xdr:cNvPr id="102424" name="Check Box 24" hidden="1">
              <a:extLst>
                <a:ext uri="{63B3BB69-23CF-44E3-9099-C40C66FF867C}">
                  <a14:compatExt spid="_x0000_s102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xdr:col>
      <xdr:colOff>85725</xdr:colOff>
      <xdr:row>19</xdr:row>
      <xdr:rowOff>257175</xdr:rowOff>
    </xdr:from>
    <xdr:to>
      <xdr:col>6</xdr:col>
      <xdr:colOff>219075</xdr:colOff>
      <xdr:row>30</xdr:row>
      <xdr:rowOff>0</xdr:rowOff>
    </xdr:to>
    <xdr:grpSp>
      <xdr:nvGrpSpPr>
        <xdr:cNvPr id="103532" name="グループ化 2"/>
        <xdr:cNvGrpSpPr>
          <a:grpSpLocks/>
        </xdr:cNvGrpSpPr>
      </xdr:nvGrpSpPr>
      <xdr:grpSpPr bwMode="auto">
        <a:xfrm>
          <a:off x="381000" y="5495925"/>
          <a:ext cx="1609725" cy="2628900"/>
          <a:chOff x="381000" y="5495925"/>
          <a:chExt cx="1609725" cy="2628900"/>
        </a:xfrm>
      </xdr:grpSpPr>
      <xdr:pic>
        <xdr:nvPicPr>
          <xdr:cNvPr id="103534"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81000" y="5495925"/>
            <a:ext cx="1609725" cy="2095500"/>
          </a:xfrm>
          <a:prstGeom prst="rect">
            <a:avLst/>
          </a:prstGeom>
          <a:noFill/>
          <a:ln w="9525">
            <a:noFill/>
            <a:miter lim="800000"/>
            <a:headEnd/>
            <a:tailEnd/>
          </a:ln>
        </xdr:spPr>
      </xdr:pic>
      <xdr:sp macro="" textlink="">
        <xdr:nvSpPr>
          <xdr:cNvPr id="5" name="テキスト ボックス 4"/>
          <xdr:cNvSpPr txBox="1"/>
        </xdr:nvSpPr>
        <xdr:spPr>
          <a:xfrm>
            <a:off x="447675" y="7810500"/>
            <a:ext cx="14668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twoCellAnchor editAs="oneCell">
    <xdr:from>
      <xdr:col>28</xdr:col>
      <xdr:colOff>0</xdr:colOff>
      <xdr:row>25</xdr:row>
      <xdr:rowOff>0</xdr:rowOff>
    </xdr:from>
    <xdr:to>
      <xdr:col>51</xdr:col>
      <xdr:colOff>676275</xdr:colOff>
      <xdr:row>34</xdr:row>
      <xdr:rowOff>114300</xdr:rowOff>
    </xdr:to>
    <xdr:pic>
      <xdr:nvPicPr>
        <xdr:cNvPr id="103533" name="図 5"/>
        <xdr:cNvPicPr>
          <a:picLocks noChangeAspect="1" noChangeArrowheads="1"/>
        </xdr:cNvPicPr>
      </xdr:nvPicPr>
      <xdr:blipFill>
        <a:blip xmlns:r="http://schemas.openxmlformats.org/officeDocument/2006/relationships" r:embed="rId2" cstate="print"/>
        <a:srcRect/>
        <a:stretch>
          <a:fillRect/>
        </a:stretch>
      </xdr:blipFill>
      <xdr:spPr bwMode="auto">
        <a:xfrm>
          <a:off x="8267700" y="6743700"/>
          <a:ext cx="5400675" cy="24479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12</xdr:col>
          <xdr:colOff>190500</xdr:colOff>
          <xdr:row>6</xdr:row>
          <xdr:rowOff>47625</xdr:rowOff>
        </xdr:from>
        <xdr:to>
          <xdr:col>13</xdr:col>
          <xdr:colOff>200025</xdr:colOff>
          <xdr:row>6</xdr:row>
          <xdr:rowOff>257175</xdr:rowOff>
        </xdr:to>
        <xdr:sp macro="" textlink="">
          <xdr:nvSpPr>
            <xdr:cNvPr id="103425" name="Check Box 1" hidden="1">
              <a:extLst>
                <a:ext uri="{63B3BB69-23CF-44E3-9099-C40C66FF867C}">
                  <a14:compatExt spid="_x0000_s10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xdr:row>
          <xdr:rowOff>47625</xdr:rowOff>
        </xdr:from>
        <xdr:to>
          <xdr:col>13</xdr:col>
          <xdr:colOff>200025</xdr:colOff>
          <xdr:row>7</xdr:row>
          <xdr:rowOff>257175</xdr:rowOff>
        </xdr:to>
        <xdr:sp macro="" textlink="">
          <xdr:nvSpPr>
            <xdr:cNvPr id="103426" name="Check Box 2" hidden="1">
              <a:extLst>
                <a:ext uri="{63B3BB69-23CF-44E3-9099-C40C66FF867C}">
                  <a14:compatExt spid="_x0000_s10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xdr:row>
          <xdr:rowOff>47625</xdr:rowOff>
        </xdr:from>
        <xdr:to>
          <xdr:col>13</xdr:col>
          <xdr:colOff>200025</xdr:colOff>
          <xdr:row>11</xdr:row>
          <xdr:rowOff>257175</xdr:rowOff>
        </xdr:to>
        <xdr:sp macro="" textlink="">
          <xdr:nvSpPr>
            <xdr:cNvPr id="103427" name="Check Box 3" hidden="1">
              <a:extLst>
                <a:ext uri="{63B3BB69-23CF-44E3-9099-C40C66FF867C}">
                  <a14:compatExt spid="_x0000_s10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12</xdr:row>
          <xdr:rowOff>47625</xdr:rowOff>
        </xdr:from>
        <xdr:to>
          <xdr:col>13</xdr:col>
          <xdr:colOff>200025</xdr:colOff>
          <xdr:row>12</xdr:row>
          <xdr:rowOff>257175</xdr:rowOff>
        </xdr:to>
        <xdr:sp macro="" textlink="">
          <xdr:nvSpPr>
            <xdr:cNvPr id="103428" name="Check Box 4" hidden="1">
              <a:extLst>
                <a:ext uri="{63B3BB69-23CF-44E3-9099-C40C66FF867C}">
                  <a14:compatExt spid="_x0000_s103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13</xdr:row>
          <xdr:rowOff>47625</xdr:rowOff>
        </xdr:from>
        <xdr:to>
          <xdr:col>13</xdr:col>
          <xdr:colOff>200025</xdr:colOff>
          <xdr:row>13</xdr:row>
          <xdr:rowOff>257175</xdr:rowOff>
        </xdr:to>
        <xdr:sp macro="" textlink="">
          <xdr:nvSpPr>
            <xdr:cNvPr id="103429" name="Check Box 5" hidden="1">
              <a:extLst>
                <a:ext uri="{63B3BB69-23CF-44E3-9099-C40C66FF867C}">
                  <a14:compatExt spid="_x0000_s103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14</xdr:row>
          <xdr:rowOff>47625</xdr:rowOff>
        </xdr:from>
        <xdr:to>
          <xdr:col>13</xdr:col>
          <xdr:colOff>200025</xdr:colOff>
          <xdr:row>14</xdr:row>
          <xdr:rowOff>257175</xdr:rowOff>
        </xdr:to>
        <xdr:sp macro="" textlink="">
          <xdr:nvSpPr>
            <xdr:cNvPr id="103430" name="Check Box 6" hidden="1">
              <a:extLst>
                <a:ext uri="{63B3BB69-23CF-44E3-9099-C40C66FF867C}">
                  <a14:compatExt spid="_x0000_s10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15</xdr:row>
          <xdr:rowOff>47625</xdr:rowOff>
        </xdr:from>
        <xdr:to>
          <xdr:col>13</xdr:col>
          <xdr:colOff>200025</xdr:colOff>
          <xdr:row>15</xdr:row>
          <xdr:rowOff>257175</xdr:rowOff>
        </xdr:to>
        <xdr:sp macro="" textlink="">
          <xdr:nvSpPr>
            <xdr:cNvPr id="103431" name="Check Box 7" hidden="1">
              <a:extLst>
                <a:ext uri="{63B3BB69-23CF-44E3-9099-C40C66FF867C}">
                  <a14:compatExt spid="_x0000_s10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xdr:row>
          <xdr:rowOff>47625</xdr:rowOff>
        </xdr:from>
        <xdr:to>
          <xdr:col>13</xdr:col>
          <xdr:colOff>200025</xdr:colOff>
          <xdr:row>8</xdr:row>
          <xdr:rowOff>257175</xdr:rowOff>
        </xdr:to>
        <xdr:sp macro="" textlink="">
          <xdr:nvSpPr>
            <xdr:cNvPr id="103432" name="Check Box 8" hidden="1">
              <a:extLst>
                <a:ext uri="{63B3BB69-23CF-44E3-9099-C40C66FF867C}">
                  <a14:compatExt spid="_x0000_s10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47625</xdr:rowOff>
        </xdr:from>
        <xdr:to>
          <xdr:col>13</xdr:col>
          <xdr:colOff>200025</xdr:colOff>
          <xdr:row>9</xdr:row>
          <xdr:rowOff>257175</xdr:rowOff>
        </xdr:to>
        <xdr:sp macro="" textlink="">
          <xdr:nvSpPr>
            <xdr:cNvPr id="103433" name="Check Box 9" hidden="1">
              <a:extLst>
                <a:ext uri="{63B3BB69-23CF-44E3-9099-C40C66FF867C}">
                  <a14:compatExt spid="_x0000_s103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47625</xdr:rowOff>
        </xdr:from>
        <xdr:to>
          <xdr:col>13</xdr:col>
          <xdr:colOff>200025</xdr:colOff>
          <xdr:row>10</xdr:row>
          <xdr:rowOff>257175</xdr:rowOff>
        </xdr:to>
        <xdr:sp macro="" textlink="">
          <xdr:nvSpPr>
            <xdr:cNvPr id="103434" name="Check Box 10" hidden="1">
              <a:extLst>
                <a:ext uri="{63B3BB69-23CF-44E3-9099-C40C66FF867C}">
                  <a14:compatExt spid="_x0000_s10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28</xdr:row>
          <xdr:rowOff>47625</xdr:rowOff>
        </xdr:from>
        <xdr:to>
          <xdr:col>19</xdr:col>
          <xdr:colOff>200025</xdr:colOff>
          <xdr:row>28</xdr:row>
          <xdr:rowOff>257175</xdr:rowOff>
        </xdr:to>
        <xdr:sp macro="" textlink="">
          <xdr:nvSpPr>
            <xdr:cNvPr id="103446" name="Check Box 22" hidden="1">
              <a:extLst>
                <a:ext uri="{63B3BB69-23CF-44E3-9099-C40C66FF867C}">
                  <a14:compatExt spid="_x0000_s103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29</xdr:row>
          <xdr:rowOff>47625</xdr:rowOff>
        </xdr:from>
        <xdr:to>
          <xdr:col>19</xdr:col>
          <xdr:colOff>200025</xdr:colOff>
          <xdr:row>29</xdr:row>
          <xdr:rowOff>257175</xdr:rowOff>
        </xdr:to>
        <xdr:sp macro="" textlink="">
          <xdr:nvSpPr>
            <xdr:cNvPr id="103447" name="Check Box 23" hidden="1">
              <a:extLst>
                <a:ext uri="{63B3BB69-23CF-44E3-9099-C40C66FF867C}">
                  <a14:compatExt spid="_x0000_s103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30</xdr:row>
          <xdr:rowOff>47625</xdr:rowOff>
        </xdr:from>
        <xdr:to>
          <xdr:col>19</xdr:col>
          <xdr:colOff>200025</xdr:colOff>
          <xdr:row>30</xdr:row>
          <xdr:rowOff>257175</xdr:rowOff>
        </xdr:to>
        <xdr:sp macro="" textlink="">
          <xdr:nvSpPr>
            <xdr:cNvPr id="103448" name="Check Box 24" hidden="1">
              <a:extLst>
                <a:ext uri="{63B3BB69-23CF-44E3-9099-C40C66FF867C}">
                  <a14:compatExt spid="_x0000_s103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xdr:col>
      <xdr:colOff>95250</xdr:colOff>
      <xdr:row>19</xdr:row>
      <xdr:rowOff>266700</xdr:rowOff>
    </xdr:from>
    <xdr:to>
      <xdr:col>6</xdr:col>
      <xdr:colOff>228600</xdr:colOff>
      <xdr:row>30</xdr:row>
      <xdr:rowOff>9525</xdr:rowOff>
    </xdr:to>
    <xdr:grpSp>
      <xdr:nvGrpSpPr>
        <xdr:cNvPr id="104556" name="グループ化 2"/>
        <xdr:cNvGrpSpPr>
          <a:grpSpLocks/>
        </xdr:cNvGrpSpPr>
      </xdr:nvGrpSpPr>
      <xdr:grpSpPr bwMode="auto">
        <a:xfrm>
          <a:off x="390525" y="5505450"/>
          <a:ext cx="1609725" cy="2628900"/>
          <a:chOff x="381000" y="5495925"/>
          <a:chExt cx="1609725" cy="2628900"/>
        </a:xfrm>
      </xdr:grpSpPr>
      <xdr:pic>
        <xdr:nvPicPr>
          <xdr:cNvPr id="104558"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81000" y="5495925"/>
            <a:ext cx="1609725" cy="2095500"/>
          </a:xfrm>
          <a:prstGeom prst="rect">
            <a:avLst/>
          </a:prstGeom>
          <a:noFill/>
          <a:ln w="9525">
            <a:noFill/>
            <a:miter lim="800000"/>
            <a:headEnd/>
            <a:tailEnd/>
          </a:ln>
        </xdr:spPr>
      </xdr:pic>
      <xdr:sp macro="" textlink="">
        <xdr:nvSpPr>
          <xdr:cNvPr id="5" name="テキスト ボックス 4"/>
          <xdr:cNvSpPr txBox="1"/>
        </xdr:nvSpPr>
        <xdr:spPr>
          <a:xfrm>
            <a:off x="447675" y="7810500"/>
            <a:ext cx="14668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twoCellAnchor editAs="oneCell">
    <xdr:from>
      <xdr:col>28</xdr:col>
      <xdr:colOff>0</xdr:colOff>
      <xdr:row>25</xdr:row>
      <xdr:rowOff>0</xdr:rowOff>
    </xdr:from>
    <xdr:to>
      <xdr:col>51</xdr:col>
      <xdr:colOff>676275</xdr:colOff>
      <xdr:row>34</xdr:row>
      <xdr:rowOff>114300</xdr:rowOff>
    </xdr:to>
    <xdr:pic>
      <xdr:nvPicPr>
        <xdr:cNvPr id="104557" name="図 5"/>
        <xdr:cNvPicPr>
          <a:picLocks noChangeAspect="1" noChangeArrowheads="1"/>
        </xdr:cNvPicPr>
      </xdr:nvPicPr>
      <xdr:blipFill>
        <a:blip xmlns:r="http://schemas.openxmlformats.org/officeDocument/2006/relationships" r:embed="rId2" cstate="print"/>
        <a:srcRect/>
        <a:stretch>
          <a:fillRect/>
        </a:stretch>
      </xdr:blipFill>
      <xdr:spPr bwMode="auto">
        <a:xfrm>
          <a:off x="8267700" y="6743700"/>
          <a:ext cx="5400675" cy="24479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12</xdr:col>
          <xdr:colOff>190500</xdr:colOff>
          <xdr:row>6</xdr:row>
          <xdr:rowOff>47625</xdr:rowOff>
        </xdr:from>
        <xdr:to>
          <xdr:col>13</xdr:col>
          <xdr:colOff>200025</xdr:colOff>
          <xdr:row>6</xdr:row>
          <xdr:rowOff>257175</xdr:rowOff>
        </xdr:to>
        <xdr:sp macro="" textlink="">
          <xdr:nvSpPr>
            <xdr:cNvPr id="104449" name="Check Box 1" hidden="1">
              <a:extLst>
                <a:ext uri="{63B3BB69-23CF-44E3-9099-C40C66FF867C}">
                  <a14:compatExt spid="_x0000_s104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xdr:row>
          <xdr:rowOff>47625</xdr:rowOff>
        </xdr:from>
        <xdr:to>
          <xdr:col>13</xdr:col>
          <xdr:colOff>200025</xdr:colOff>
          <xdr:row>7</xdr:row>
          <xdr:rowOff>257175</xdr:rowOff>
        </xdr:to>
        <xdr:sp macro="" textlink="">
          <xdr:nvSpPr>
            <xdr:cNvPr id="104450" name="Check Box 2" hidden="1">
              <a:extLst>
                <a:ext uri="{63B3BB69-23CF-44E3-9099-C40C66FF867C}">
                  <a14:compatExt spid="_x0000_s104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xdr:row>
          <xdr:rowOff>47625</xdr:rowOff>
        </xdr:from>
        <xdr:to>
          <xdr:col>13</xdr:col>
          <xdr:colOff>200025</xdr:colOff>
          <xdr:row>11</xdr:row>
          <xdr:rowOff>257175</xdr:rowOff>
        </xdr:to>
        <xdr:sp macro="" textlink="">
          <xdr:nvSpPr>
            <xdr:cNvPr id="104451" name="Check Box 3" hidden="1">
              <a:extLst>
                <a:ext uri="{63B3BB69-23CF-44E3-9099-C40C66FF867C}">
                  <a14:compatExt spid="_x0000_s104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12</xdr:row>
          <xdr:rowOff>47625</xdr:rowOff>
        </xdr:from>
        <xdr:to>
          <xdr:col>13</xdr:col>
          <xdr:colOff>200025</xdr:colOff>
          <xdr:row>12</xdr:row>
          <xdr:rowOff>257175</xdr:rowOff>
        </xdr:to>
        <xdr:sp macro="" textlink="">
          <xdr:nvSpPr>
            <xdr:cNvPr id="104452" name="Check Box 4" hidden="1">
              <a:extLst>
                <a:ext uri="{63B3BB69-23CF-44E3-9099-C40C66FF867C}">
                  <a14:compatExt spid="_x0000_s104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13</xdr:row>
          <xdr:rowOff>47625</xdr:rowOff>
        </xdr:from>
        <xdr:to>
          <xdr:col>13</xdr:col>
          <xdr:colOff>200025</xdr:colOff>
          <xdr:row>13</xdr:row>
          <xdr:rowOff>257175</xdr:rowOff>
        </xdr:to>
        <xdr:sp macro="" textlink="">
          <xdr:nvSpPr>
            <xdr:cNvPr id="104453" name="Check Box 5" hidden="1">
              <a:extLst>
                <a:ext uri="{63B3BB69-23CF-44E3-9099-C40C66FF867C}">
                  <a14:compatExt spid="_x0000_s104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14</xdr:row>
          <xdr:rowOff>47625</xdr:rowOff>
        </xdr:from>
        <xdr:to>
          <xdr:col>13</xdr:col>
          <xdr:colOff>200025</xdr:colOff>
          <xdr:row>14</xdr:row>
          <xdr:rowOff>257175</xdr:rowOff>
        </xdr:to>
        <xdr:sp macro="" textlink="">
          <xdr:nvSpPr>
            <xdr:cNvPr id="104454" name="Check Box 6" hidden="1">
              <a:extLst>
                <a:ext uri="{63B3BB69-23CF-44E3-9099-C40C66FF867C}">
                  <a14:compatExt spid="_x0000_s104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15</xdr:row>
          <xdr:rowOff>47625</xdr:rowOff>
        </xdr:from>
        <xdr:to>
          <xdr:col>13</xdr:col>
          <xdr:colOff>200025</xdr:colOff>
          <xdr:row>15</xdr:row>
          <xdr:rowOff>257175</xdr:rowOff>
        </xdr:to>
        <xdr:sp macro="" textlink="">
          <xdr:nvSpPr>
            <xdr:cNvPr id="104455" name="Check Box 7" hidden="1">
              <a:extLst>
                <a:ext uri="{63B3BB69-23CF-44E3-9099-C40C66FF867C}">
                  <a14:compatExt spid="_x0000_s104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xdr:row>
          <xdr:rowOff>47625</xdr:rowOff>
        </xdr:from>
        <xdr:to>
          <xdr:col>13</xdr:col>
          <xdr:colOff>200025</xdr:colOff>
          <xdr:row>8</xdr:row>
          <xdr:rowOff>257175</xdr:rowOff>
        </xdr:to>
        <xdr:sp macro="" textlink="">
          <xdr:nvSpPr>
            <xdr:cNvPr id="104456" name="Check Box 8" hidden="1">
              <a:extLst>
                <a:ext uri="{63B3BB69-23CF-44E3-9099-C40C66FF867C}">
                  <a14:compatExt spid="_x0000_s104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47625</xdr:rowOff>
        </xdr:from>
        <xdr:to>
          <xdr:col>13</xdr:col>
          <xdr:colOff>200025</xdr:colOff>
          <xdr:row>9</xdr:row>
          <xdr:rowOff>257175</xdr:rowOff>
        </xdr:to>
        <xdr:sp macro="" textlink="">
          <xdr:nvSpPr>
            <xdr:cNvPr id="104457" name="Check Box 9" hidden="1">
              <a:extLst>
                <a:ext uri="{63B3BB69-23CF-44E3-9099-C40C66FF867C}">
                  <a14:compatExt spid="_x0000_s104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47625</xdr:rowOff>
        </xdr:from>
        <xdr:to>
          <xdr:col>13</xdr:col>
          <xdr:colOff>200025</xdr:colOff>
          <xdr:row>10</xdr:row>
          <xdr:rowOff>257175</xdr:rowOff>
        </xdr:to>
        <xdr:sp macro="" textlink="">
          <xdr:nvSpPr>
            <xdr:cNvPr id="104458" name="Check Box 10" hidden="1">
              <a:extLst>
                <a:ext uri="{63B3BB69-23CF-44E3-9099-C40C66FF867C}">
                  <a14:compatExt spid="_x0000_s104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28</xdr:row>
          <xdr:rowOff>47625</xdr:rowOff>
        </xdr:from>
        <xdr:to>
          <xdr:col>19</xdr:col>
          <xdr:colOff>200025</xdr:colOff>
          <xdr:row>28</xdr:row>
          <xdr:rowOff>257175</xdr:rowOff>
        </xdr:to>
        <xdr:sp macro="" textlink="">
          <xdr:nvSpPr>
            <xdr:cNvPr id="104470" name="Check Box 22" hidden="1">
              <a:extLst>
                <a:ext uri="{63B3BB69-23CF-44E3-9099-C40C66FF867C}">
                  <a14:compatExt spid="_x0000_s104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29</xdr:row>
          <xdr:rowOff>47625</xdr:rowOff>
        </xdr:from>
        <xdr:to>
          <xdr:col>19</xdr:col>
          <xdr:colOff>200025</xdr:colOff>
          <xdr:row>29</xdr:row>
          <xdr:rowOff>257175</xdr:rowOff>
        </xdr:to>
        <xdr:sp macro="" textlink="">
          <xdr:nvSpPr>
            <xdr:cNvPr id="104471" name="Check Box 23" hidden="1">
              <a:extLst>
                <a:ext uri="{63B3BB69-23CF-44E3-9099-C40C66FF867C}">
                  <a14:compatExt spid="_x0000_s104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30</xdr:row>
          <xdr:rowOff>47625</xdr:rowOff>
        </xdr:from>
        <xdr:to>
          <xdr:col>19</xdr:col>
          <xdr:colOff>200025</xdr:colOff>
          <xdr:row>30</xdr:row>
          <xdr:rowOff>257175</xdr:rowOff>
        </xdr:to>
        <xdr:sp macro="" textlink="">
          <xdr:nvSpPr>
            <xdr:cNvPr id="104472" name="Check Box 24" hidden="1">
              <a:extLst>
                <a:ext uri="{63B3BB69-23CF-44E3-9099-C40C66FF867C}">
                  <a14:compatExt spid="_x0000_s104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omments" Target="../comments1.xml"/><Relationship Id="rId2" Type="http://schemas.openxmlformats.org/officeDocument/2006/relationships/drawing" Target="../drawings/drawing2.xml"/><Relationship Id="rId16" Type="http://schemas.openxmlformats.org/officeDocument/2006/relationships/ctrlProp" Target="../ctrlProps/ctrlProp16.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omments" Target="../comments2.xml"/><Relationship Id="rId2" Type="http://schemas.openxmlformats.org/officeDocument/2006/relationships/drawing" Target="../drawings/drawing3.xml"/><Relationship Id="rId16"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3" Type="http://schemas.openxmlformats.org/officeDocument/2006/relationships/vmlDrawing" Target="../drawings/vmlDrawing4.v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omments" Target="../comments3.xml"/><Relationship Id="rId2" Type="http://schemas.openxmlformats.org/officeDocument/2006/relationships/drawing" Target="../drawings/drawing4.xml"/><Relationship Id="rId16" Type="http://schemas.openxmlformats.org/officeDocument/2006/relationships/ctrlProp" Target="../ctrlProps/ctrlProp42.xml"/><Relationship Id="rId1" Type="http://schemas.openxmlformats.org/officeDocument/2006/relationships/printerSettings" Target="../printerSettings/printerSettings4.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5" Type="http://schemas.openxmlformats.org/officeDocument/2006/relationships/ctrlProp" Target="../ctrlProps/ctrlProp41.xml"/><Relationship Id="rId10" Type="http://schemas.openxmlformats.org/officeDocument/2006/relationships/ctrlProp" Target="../ctrlProps/ctrlProp36.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3" Type="http://schemas.openxmlformats.org/officeDocument/2006/relationships/vmlDrawing" Target="../drawings/vmlDrawing5.v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omments" Target="../comments4.xml"/><Relationship Id="rId2" Type="http://schemas.openxmlformats.org/officeDocument/2006/relationships/drawing" Target="../drawings/drawing5.xml"/><Relationship Id="rId16" Type="http://schemas.openxmlformats.org/officeDocument/2006/relationships/ctrlProp" Target="../ctrlProps/ctrlProp55.xml"/><Relationship Id="rId1" Type="http://schemas.openxmlformats.org/officeDocument/2006/relationships/printerSettings" Target="../printerSettings/printerSettings5.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5" Type="http://schemas.openxmlformats.org/officeDocument/2006/relationships/ctrlProp" Target="../ctrlProps/ctrlProp5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3" Type="http://schemas.openxmlformats.org/officeDocument/2006/relationships/vmlDrawing" Target="../drawings/vmlDrawing6.vml"/><Relationship Id="rId7" Type="http://schemas.openxmlformats.org/officeDocument/2006/relationships/ctrlProp" Target="../ctrlProps/ctrlProp59.xml"/><Relationship Id="rId12" Type="http://schemas.openxmlformats.org/officeDocument/2006/relationships/ctrlProp" Target="../ctrlProps/ctrlProp64.xml"/><Relationship Id="rId17" Type="http://schemas.openxmlformats.org/officeDocument/2006/relationships/comments" Target="../comments5.xml"/><Relationship Id="rId2" Type="http://schemas.openxmlformats.org/officeDocument/2006/relationships/drawing" Target="../drawings/drawing6.xml"/><Relationship Id="rId16" Type="http://schemas.openxmlformats.org/officeDocument/2006/relationships/ctrlProp" Target="../ctrlProps/ctrlProp68.xml"/><Relationship Id="rId1" Type="http://schemas.openxmlformats.org/officeDocument/2006/relationships/printerSettings" Target="../printerSettings/printerSettings6.bin"/><Relationship Id="rId6" Type="http://schemas.openxmlformats.org/officeDocument/2006/relationships/ctrlProp" Target="../ctrlProps/ctrlProp58.xml"/><Relationship Id="rId11" Type="http://schemas.openxmlformats.org/officeDocument/2006/relationships/ctrlProp" Target="../ctrlProps/ctrlProp63.xml"/><Relationship Id="rId5" Type="http://schemas.openxmlformats.org/officeDocument/2006/relationships/ctrlProp" Target="../ctrlProps/ctrlProp57.xml"/><Relationship Id="rId15" Type="http://schemas.openxmlformats.org/officeDocument/2006/relationships/ctrlProp" Target="../ctrlProps/ctrlProp67.xml"/><Relationship Id="rId10" Type="http://schemas.openxmlformats.org/officeDocument/2006/relationships/ctrlProp" Target="../ctrlProps/ctrlProp62.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3" Type="http://schemas.openxmlformats.org/officeDocument/2006/relationships/vmlDrawing" Target="../drawings/vmlDrawing7.v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omments" Target="../comments6.xml"/><Relationship Id="rId2" Type="http://schemas.openxmlformats.org/officeDocument/2006/relationships/drawing" Target="../drawings/drawing7.xml"/><Relationship Id="rId16" Type="http://schemas.openxmlformats.org/officeDocument/2006/relationships/ctrlProp" Target="../ctrlProps/ctrlProp81.xml"/><Relationship Id="rId1" Type="http://schemas.openxmlformats.org/officeDocument/2006/relationships/printerSettings" Target="../printerSettings/printerSettings7.bin"/><Relationship Id="rId6" Type="http://schemas.openxmlformats.org/officeDocument/2006/relationships/ctrlProp" Target="../ctrlProps/ctrlProp71.xml"/><Relationship Id="rId11" Type="http://schemas.openxmlformats.org/officeDocument/2006/relationships/ctrlProp" Target="../ctrlProps/ctrlProp76.xml"/><Relationship Id="rId5" Type="http://schemas.openxmlformats.org/officeDocument/2006/relationships/ctrlProp" Target="../ctrlProps/ctrlProp70.xml"/><Relationship Id="rId15" Type="http://schemas.openxmlformats.org/officeDocument/2006/relationships/ctrlProp" Target="../ctrlProps/ctrlProp80.xml"/><Relationship Id="rId10" Type="http://schemas.openxmlformats.org/officeDocument/2006/relationships/ctrlProp" Target="../ctrlProps/ctrlProp75.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6.xml"/><Relationship Id="rId13" Type="http://schemas.openxmlformats.org/officeDocument/2006/relationships/ctrlProp" Target="../ctrlProps/ctrlProp91.xml"/><Relationship Id="rId3" Type="http://schemas.openxmlformats.org/officeDocument/2006/relationships/vmlDrawing" Target="../drawings/vmlDrawing8.vml"/><Relationship Id="rId7" Type="http://schemas.openxmlformats.org/officeDocument/2006/relationships/ctrlProp" Target="../ctrlProps/ctrlProp85.xml"/><Relationship Id="rId12" Type="http://schemas.openxmlformats.org/officeDocument/2006/relationships/ctrlProp" Target="../ctrlProps/ctrlProp90.xml"/><Relationship Id="rId17" Type="http://schemas.openxmlformats.org/officeDocument/2006/relationships/comments" Target="../comments7.xml"/><Relationship Id="rId2" Type="http://schemas.openxmlformats.org/officeDocument/2006/relationships/drawing" Target="../drawings/drawing8.xml"/><Relationship Id="rId16" Type="http://schemas.openxmlformats.org/officeDocument/2006/relationships/ctrlProp" Target="../ctrlProps/ctrlProp94.xml"/><Relationship Id="rId1" Type="http://schemas.openxmlformats.org/officeDocument/2006/relationships/printerSettings" Target="../printerSettings/printerSettings8.bin"/><Relationship Id="rId6" Type="http://schemas.openxmlformats.org/officeDocument/2006/relationships/ctrlProp" Target="../ctrlProps/ctrlProp84.xml"/><Relationship Id="rId11" Type="http://schemas.openxmlformats.org/officeDocument/2006/relationships/ctrlProp" Target="../ctrlProps/ctrlProp89.xml"/><Relationship Id="rId5" Type="http://schemas.openxmlformats.org/officeDocument/2006/relationships/ctrlProp" Target="../ctrlProps/ctrlProp83.xml"/><Relationship Id="rId15" Type="http://schemas.openxmlformats.org/officeDocument/2006/relationships/ctrlProp" Target="../ctrlProps/ctrlProp93.xml"/><Relationship Id="rId10" Type="http://schemas.openxmlformats.org/officeDocument/2006/relationships/ctrlProp" Target="../ctrlProps/ctrlProp88.xml"/><Relationship Id="rId4" Type="http://schemas.openxmlformats.org/officeDocument/2006/relationships/ctrlProp" Target="../ctrlProps/ctrlProp82.xml"/><Relationship Id="rId9" Type="http://schemas.openxmlformats.org/officeDocument/2006/relationships/ctrlProp" Target="../ctrlProps/ctrlProp87.xml"/><Relationship Id="rId14" Type="http://schemas.openxmlformats.org/officeDocument/2006/relationships/ctrlProp" Target="../ctrlProps/ctrlProp9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99.xml"/><Relationship Id="rId13" Type="http://schemas.openxmlformats.org/officeDocument/2006/relationships/ctrlProp" Target="../ctrlProps/ctrlProp104.xml"/><Relationship Id="rId3" Type="http://schemas.openxmlformats.org/officeDocument/2006/relationships/vmlDrawing" Target="../drawings/vmlDrawing9.vml"/><Relationship Id="rId7" Type="http://schemas.openxmlformats.org/officeDocument/2006/relationships/ctrlProp" Target="../ctrlProps/ctrlProp98.xml"/><Relationship Id="rId12" Type="http://schemas.openxmlformats.org/officeDocument/2006/relationships/ctrlProp" Target="../ctrlProps/ctrlProp103.xml"/><Relationship Id="rId17" Type="http://schemas.openxmlformats.org/officeDocument/2006/relationships/comments" Target="../comments8.xml"/><Relationship Id="rId2" Type="http://schemas.openxmlformats.org/officeDocument/2006/relationships/drawing" Target="../drawings/drawing9.xml"/><Relationship Id="rId16" Type="http://schemas.openxmlformats.org/officeDocument/2006/relationships/ctrlProp" Target="../ctrlProps/ctrlProp107.xml"/><Relationship Id="rId1" Type="http://schemas.openxmlformats.org/officeDocument/2006/relationships/printerSettings" Target="../printerSettings/printerSettings9.bin"/><Relationship Id="rId6" Type="http://schemas.openxmlformats.org/officeDocument/2006/relationships/ctrlProp" Target="../ctrlProps/ctrlProp97.xml"/><Relationship Id="rId11" Type="http://schemas.openxmlformats.org/officeDocument/2006/relationships/ctrlProp" Target="../ctrlProps/ctrlProp102.xml"/><Relationship Id="rId5" Type="http://schemas.openxmlformats.org/officeDocument/2006/relationships/ctrlProp" Target="../ctrlProps/ctrlProp96.xml"/><Relationship Id="rId15" Type="http://schemas.openxmlformats.org/officeDocument/2006/relationships/ctrlProp" Target="../ctrlProps/ctrlProp106.xml"/><Relationship Id="rId10" Type="http://schemas.openxmlformats.org/officeDocument/2006/relationships/ctrlProp" Target="../ctrlProps/ctrlProp101.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M147"/>
  <sheetViews>
    <sheetView tabSelected="1" zoomScaleNormal="100" workbookViewId="0">
      <selection sqref="A1:AB1"/>
    </sheetView>
  </sheetViews>
  <sheetFormatPr defaultRowHeight="13.5"/>
  <cols>
    <col min="1" max="30" width="3.625" customWidth="1"/>
    <col min="31" max="31" width="8" hidden="1" customWidth="1"/>
    <col min="32" max="37" width="10.625" hidden="1" customWidth="1"/>
    <col min="38" max="52" width="3.625" customWidth="1"/>
  </cols>
  <sheetData>
    <row r="1" spans="1:39" ht="30" customHeight="1">
      <c r="A1" s="164" t="s">
        <v>211</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row>
    <row r="2" spans="1:39" ht="24.95" customHeight="1">
      <c r="A2" s="165" t="s">
        <v>210</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row>
    <row r="3" spans="1:39" ht="30" customHeight="1">
      <c r="AF3" s="163" t="s">
        <v>118</v>
      </c>
      <c r="AG3" s="163"/>
      <c r="AH3" s="163"/>
      <c r="AI3" s="163"/>
      <c r="AJ3" s="163"/>
      <c r="AK3" s="163"/>
    </row>
    <row r="4" spans="1:39" ht="30" customHeight="1" thickBot="1">
      <c r="A4" s="4" t="s">
        <v>26</v>
      </c>
      <c r="AE4" s="96"/>
      <c r="AF4" s="142" t="s">
        <v>181</v>
      </c>
      <c r="AG4" s="142"/>
      <c r="AH4" s="142" t="s">
        <v>182</v>
      </c>
      <c r="AI4" s="142"/>
      <c r="AJ4" s="142" t="s">
        <v>183</v>
      </c>
      <c r="AK4" s="142"/>
    </row>
    <row r="5" spans="1:39" s="2" customFormat="1" ht="30" customHeight="1">
      <c r="A5" s="173" t="s">
        <v>27</v>
      </c>
      <c r="B5" s="174"/>
      <c r="C5" s="174"/>
      <c r="D5" s="174"/>
      <c r="E5" s="174"/>
      <c r="F5" s="174"/>
      <c r="G5" s="174"/>
      <c r="H5" s="175"/>
      <c r="I5" s="13"/>
      <c r="J5" s="176"/>
      <c r="K5" s="176"/>
      <c r="L5" s="176"/>
      <c r="M5" s="176"/>
      <c r="N5" s="176"/>
      <c r="O5" s="176"/>
      <c r="P5" s="176"/>
      <c r="Q5" s="176"/>
      <c r="R5" s="176"/>
      <c r="S5" s="176"/>
      <c r="T5" s="176"/>
      <c r="U5" s="176"/>
      <c r="V5" s="176"/>
      <c r="W5" s="176"/>
      <c r="X5" s="176"/>
      <c r="Y5" s="176"/>
      <c r="Z5" s="176"/>
      <c r="AA5" s="176"/>
      <c r="AB5" s="177"/>
      <c r="AE5" s="96"/>
      <c r="AF5" s="97" t="s">
        <v>184</v>
      </c>
      <c r="AG5" s="97" t="s">
        <v>185</v>
      </c>
      <c r="AH5" s="97" t="s">
        <v>184</v>
      </c>
      <c r="AI5" s="97" t="s">
        <v>185</v>
      </c>
      <c r="AJ5" s="97" t="s">
        <v>184</v>
      </c>
      <c r="AK5" s="97" t="s">
        <v>185</v>
      </c>
    </row>
    <row r="6" spans="1:39" s="2" customFormat="1" ht="30" customHeight="1">
      <c r="A6" s="166" t="s">
        <v>28</v>
      </c>
      <c r="B6" s="167"/>
      <c r="C6" s="167"/>
      <c r="D6" s="167"/>
      <c r="E6" s="167"/>
      <c r="F6" s="167"/>
      <c r="G6" s="167"/>
      <c r="H6" s="168"/>
      <c r="I6" s="14"/>
      <c r="J6" s="169"/>
      <c r="K6" s="169"/>
      <c r="L6" s="169"/>
      <c r="M6" s="169"/>
      <c r="N6" s="169"/>
      <c r="O6" s="169"/>
      <c r="P6" s="169"/>
      <c r="Q6" s="169"/>
      <c r="R6" s="169"/>
      <c r="S6" s="169"/>
      <c r="T6" s="169"/>
      <c r="U6" s="169"/>
      <c r="V6" s="170"/>
      <c r="W6" s="171" t="s">
        <v>30</v>
      </c>
      <c r="X6" s="172"/>
      <c r="Y6" s="172"/>
      <c r="Z6" s="143"/>
      <c r="AA6" s="143"/>
      <c r="AB6" s="144"/>
      <c r="AE6" s="97" t="s">
        <v>216</v>
      </c>
      <c r="AF6" s="97">
        <v>0.46</v>
      </c>
      <c r="AG6" s="98" t="s">
        <v>186</v>
      </c>
      <c r="AH6" s="97">
        <v>0.54</v>
      </c>
      <c r="AI6" s="98" t="s">
        <v>186</v>
      </c>
      <c r="AJ6" s="97">
        <v>0.72</v>
      </c>
      <c r="AK6" s="98" t="s">
        <v>186</v>
      </c>
    </row>
    <row r="7" spans="1:39" s="2" customFormat="1" ht="30" customHeight="1" thickBot="1">
      <c r="A7" s="153" t="s">
        <v>29</v>
      </c>
      <c r="B7" s="154"/>
      <c r="C7" s="154"/>
      <c r="D7" s="154"/>
      <c r="E7" s="154"/>
      <c r="F7" s="154"/>
      <c r="G7" s="154"/>
      <c r="H7" s="155"/>
      <c r="I7" s="12"/>
      <c r="J7" s="24"/>
      <c r="K7" s="24"/>
      <c r="L7" s="178" t="s">
        <v>31</v>
      </c>
      <c r="M7" s="178"/>
      <c r="N7" s="179"/>
      <c r="O7" s="179"/>
      <c r="P7" s="24" t="s">
        <v>2</v>
      </c>
      <c r="Q7" s="178" t="s">
        <v>32</v>
      </c>
      <c r="R7" s="178"/>
      <c r="S7" s="179"/>
      <c r="T7" s="179"/>
      <c r="U7" s="24" t="s">
        <v>2</v>
      </c>
      <c r="V7" s="24"/>
      <c r="W7" s="24"/>
      <c r="X7" s="24"/>
      <c r="Y7" s="24"/>
      <c r="Z7" s="24"/>
      <c r="AA7" s="24"/>
      <c r="AB7" s="25"/>
      <c r="AE7" s="97" t="s">
        <v>217</v>
      </c>
      <c r="AF7" s="97">
        <v>0.46</v>
      </c>
      <c r="AG7" s="98" t="s">
        <v>186</v>
      </c>
      <c r="AH7" s="97">
        <v>0.54</v>
      </c>
      <c r="AI7" s="98" t="s">
        <v>186</v>
      </c>
      <c r="AJ7" s="97">
        <v>0.72</v>
      </c>
      <c r="AK7" s="98" t="s">
        <v>186</v>
      </c>
    </row>
    <row r="8" spans="1:39" s="2" customFormat="1" ht="30" customHeight="1">
      <c r="AE8" s="97" t="s">
        <v>218</v>
      </c>
      <c r="AF8" s="97">
        <v>0.56000000000000005</v>
      </c>
      <c r="AG8" s="98" t="s">
        <v>186</v>
      </c>
      <c r="AH8" s="97">
        <v>1.04</v>
      </c>
      <c r="AI8" s="98" t="s">
        <v>186</v>
      </c>
      <c r="AJ8" s="97">
        <v>1.21</v>
      </c>
      <c r="AK8" s="98" t="s">
        <v>186</v>
      </c>
    </row>
    <row r="9" spans="1:39" s="2" customFormat="1" ht="30" customHeight="1" thickBot="1">
      <c r="A9" s="4" t="s">
        <v>33</v>
      </c>
      <c r="AE9" s="97" t="s">
        <v>219</v>
      </c>
      <c r="AF9" s="97">
        <v>0.75</v>
      </c>
      <c r="AG9" s="98" t="s">
        <v>186</v>
      </c>
      <c r="AH9" s="97">
        <v>1.25</v>
      </c>
      <c r="AI9" s="98" t="s">
        <v>186</v>
      </c>
      <c r="AJ9" s="97">
        <v>1.47</v>
      </c>
      <c r="AK9" s="98" t="s">
        <v>186</v>
      </c>
    </row>
    <row r="10" spans="1:39" s="2" customFormat="1" ht="30" customHeight="1">
      <c r="A10" s="160" t="s">
        <v>204</v>
      </c>
      <c r="B10" s="161"/>
      <c r="C10" s="161"/>
      <c r="D10" s="161"/>
      <c r="E10" s="161"/>
      <c r="F10" s="161"/>
      <c r="G10" s="161"/>
      <c r="H10" s="162"/>
      <c r="I10" s="180">
        <f>ROUND('Ａ（北）'!K35+'Ａ（北東）'!K35+'Ａ（東）'!K35+'Ａ（南東）'!K35+'Ａ（南）'!K35+'Ａ（南西）'!K35+'Ａ（西）'!K35+'Ａ（北西）'!K35+'Ｂ（屋根・床等）'!O29+'Ｃ（基礎）'!G11,2)</f>
        <v>0</v>
      </c>
      <c r="J10" s="181"/>
      <c r="K10" s="181"/>
      <c r="L10" s="182" t="s">
        <v>24</v>
      </c>
      <c r="M10" s="183"/>
      <c r="N10" s="160" t="s">
        <v>207</v>
      </c>
      <c r="O10" s="161"/>
      <c r="P10" s="161"/>
      <c r="Q10" s="161"/>
      <c r="R10" s="161"/>
      <c r="S10" s="161"/>
      <c r="T10" s="161"/>
      <c r="U10" s="161"/>
      <c r="V10" s="162"/>
      <c r="W10" s="158">
        <f>IF(AG19=0,0,ROUNDUP((AG19/I10)*100,1))</f>
        <v>0</v>
      </c>
      <c r="X10" s="159"/>
      <c r="Y10" s="159"/>
      <c r="Z10" s="159"/>
      <c r="AA10" s="129"/>
      <c r="AB10" s="130"/>
      <c r="AE10" s="97" t="s">
        <v>220</v>
      </c>
      <c r="AF10" s="97">
        <v>0.87</v>
      </c>
      <c r="AG10" s="98">
        <v>3</v>
      </c>
      <c r="AH10" s="97">
        <v>1.54</v>
      </c>
      <c r="AI10" s="98">
        <v>4</v>
      </c>
      <c r="AJ10" s="97">
        <v>1.67</v>
      </c>
      <c r="AK10" s="98" t="s">
        <v>186</v>
      </c>
    </row>
    <row r="11" spans="1:39" s="2" customFormat="1" ht="30" customHeight="1" thickBot="1">
      <c r="A11" s="153" t="s">
        <v>205</v>
      </c>
      <c r="B11" s="154"/>
      <c r="C11" s="154"/>
      <c r="D11" s="154"/>
      <c r="E11" s="154"/>
      <c r="F11" s="154"/>
      <c r="G11" s="154"/>
      <c r="H11" s="155"/>
      <c r="I11" s="148">
        <f>IF(AG18=0,0,ROUNDUP(AG18/I10,2))</f>
        <v>0</v>
      </c>
      <c r="J11" s="148"/>
      <c r="K11" s="148"/>
      <c r="L11" s="184" t="s">
        <v>206</v>
      </c>
      <c r="M11" s="185"/>
      <c r="N11" s="153" t="s">
        <v>208</v>
      </c>
      <c r="O11" s="154"/>
      <c r="P11" s="154"/>
      <c r="Q11" s="154"/>
      <c r="R11" s="154"/>
      <c r="S11" s="154"/>
      <c r="T11" s="154"/>
      <c r="U11" s="154"/>
      <c r="V11" s="155"/>
      <c r="W11" s="147">
        <f>IF(AG20=0,0,ROUNDDOWN((AG20/I10)*100,1))</f>
        <v>0</v>
      </c>
      <c r="X11" s="148"/>
      <c r="Y11" s="148"/>
      <c r="Z11" s="148"/>
      <c r="AA11" s="145"/>
      <c r="AB11" s="146"/>
      <c r="AE11" s="97" t="s">
        <v>221</v>
      </c>
      <c r="AF11" s="97">
        <v>0.87</v>
      </c>
      <c r="AG11" s="98">
        <v>2.8</v>
      </c>
      <c r="AH11" s="97">
        <v>1.54</v>
      </c>
      <c r="AI11" s="98">
        <v>3.8</v>
      </c>
      <c r="AJ11" s="97">
        <v>1.67</v>
      </c>
      <c r="AK11" s="98" t="s">
        <v>186</v>
      </c>
    </row>
    <row r="12" spans="1:39" s="2" customFormat="1" ht="30" customHeight="1">
      <c r="A12" s="80"/>
      <c r="B12" s="80"/>
      <c r="C12" s="80"/>
      <c r="D12" s="80"/>
      <c r="E12" s="80"/>
      <c r="F12" s="80"/>
      <c r="G12" s="80"/>
      <c r="H12" s="80"/>
      <c r="I12" s="107"/>
      <c r="J12" s="107"/>
      <c r="K12" s="107"/>
      <c r="L12" s="125"/>
      <c r="M12" s="128"/>
      <c r="AE12" s="97" t="s">
        <v>222</v>
      </c>
      <c r="AF12" s="97">
        <v>0.87</v>
      </c>
      <c r="AG12" s="98">
        <v>2.7</v>
      </c>
      <c r="AH12" s="97">
        <v>1.81</v>
      </c>
      <c r="AI12" s="98">
        <v>4</v>
      </c>
      <c r="AJ12" s="97">
        <v>2.35</v>
      </c>
      <c r="AK12" s="98" t="s">
        <v>186</v>
      </c>
      <c r="AL12" s="107"/>
      <c r="AM12" s="107"/>
    </row>
    <row r="13" spans="1:39" s="2" customFormat="1" ht="30" customHeight="1">
      <c r="N13" s="6"/>
      <c r="O13" s="6"/>
      <c r="P13" s="6"/>
      <c r="Q13" s="6"/>
      <c r="R13" s="6"/>
      <c r="S13" s="6"/>
      <c r="T13" s="6"/>
      <c r="U13" s="6"/>
      <c r="V13" s="6"/>
      <c r="W13" s="6"/>
      <c r="X13" s="6"/>
      <c r="Y13" s="21"/>
      <c r="Z13" s="23"/>
      <c r="AA13" s="23"/>
      <c r="AB13" s="22"/>
      <c r="AE13" s="97" t="s">
        <v>223</v>
      </c>
      <c r="AF13" s="97" t="s">
        <v>186</v>
      </c>
      <c r="AG13" s="98">
        <v>3.2</v>
      </c>
      <c r="AH13" s="97" t="s">
        <v>186</v>
      </c>
      <c r="AI13" s="98">
        <v>4.5</v>
      </c>
      <c r="AJ13" s="97" t="s">
        <v>186</v>
      </c>
      <c r="AK13" s="98" t="s">
        <v>186</v>
      </c>
    </row>
    <row r="14" spans="1:39" s="2" customFormat="1" ht="30" customHeight="1" thickBot="1">
      <c r="A14" s="4" t="s">
        <v>119</v>
      </c>
    </row>
    <row r="15" spans="1:39" s="2" customFormat="1" ht="30" customHeight="1" thickBot="1">
      <c r="A15" s="192"/>
      <c r="B15" s="193"/>
      <c r="C15" s="193"/>
      <c r="D15" s="193"/>
      <c r="E15" s="193"/>
      <c r="F15" s="193"/>
      <c r="G15" s="193"/>
      <c r="H15" s="194"/>
      <c r="I15" s="195" t="s">
        <v>120</v>
      </c>
      <c r="J15" s="196"/>
      <c r="K15" s="196"/>
      <c r="L15" s="196"/>
      <c r="M15" s="196"/>
      <c r="N15" s="196" t="s">
        <v>121</v>
      </c>
      <c r="O15" s="196"/>
      <c r="P15" s="196"/>
      <c r="Q15" s="196"/>
      <c r="R15" s="196"/>
      <c r="S15" s="197" t="s">
        <v>122</v>
      </c>
      <c r="T15" s="197"/>
      <c r="U15" s="197"/>
      <c r="V15" s="197"/>
      <c r="W15" s="198"/>
      <c r="Y15" s="110"/>
      <c r="Z15" s="133" t="s">
        <v>187</v>
      </c>
      <c r="AA15" s="134"/>
      <c r="AB15" s="135"/>
    </row>
    <row r="16" spans="1:39" s="2" customFormat="1" ht="30" customHeight="1">
      <c r="A16" s="199" t="s">
        <v>224</v>
      </c>
      <c r="B16" s="134"/>
      <c r="C16" s="134"/>
      <c r="D16" s="134"/>
      <c r="E16" s="134"/>
      <c r="F16" s="134"/>
      <c r="G16" s="134"/>
      <c r="H16" s="134"/>
      <c r="I16" s="200">
        <f>I11</f>
        <v>0</v>
      </c>
      <c r="J16" s="201"/>
      <c r="K16" s="201"/>
      <c r="L16" s="202" t="s">
        <v>36</v>
      </c>
      <c r="M16" s="203"/>
      <c r="N16" s="204" t="e">
        <f>IF(AE16=1,AF16,IF(AE16=2,AH16,IF(AE16=3,AJ16,"-")))</f>
        <v>#N/A</v>
      </c>
      <c r="O16" s="201"/>
      <c r="P16" s="201"/>
      <c r="Q16" s="202" t="s">
        <v>36</v>
      </c>
      <c r="R16" s="203"/>
      <c r="S16" s="151" t="e">
        <f>IF(N16="-","",(IF(N16&gt;=I16,"適合","不適合")))</f>
        <v>#N/A</v>
      </c>
      <c r="T16" s="151"/>
      <c r="U16" s="151"/>
      <c r="V16" s="151"/>
      <c r="W16" s="152"/>
      <c r="Y16" s="111"/>
      <c r="Z16" s="136" t="s">
        <v>188</v>
      </c>
      <c r="AA16" s="137"/>
      <c r="AB16" s="138"/>
      <c r="AE16" s="123">
        <v>1</v>
      </c>
      <c r="AF16" s="108" t="e">
        <f>VLOOKUP(Z6,$AE$6:$AK$13,2,FALSE)</f>
        <v>#N/A</v>
      </c>
      <c r="AG16" s="109" t="e">
        <f>VLOOKUP(Z6,$AE$6:$AK$13,3,FALSE)</f>
        <v>#N/A</v>
      </c>
      <c r="AH16" s="108" t="e">
        <f>VLOOKUP(Z6,$AE$6:$AK$13,4,FALSE)</f>
        <v>#N/A</v>
      </c>
      <c r="AI16" s="109" t="e">
        <f>VLOOKUP(Z6,$AE$6:$AK$13,5,FALSE)</f>
        <v>#N/A</v>
      </c>
      <c r="AJ16" s="108" t="e">
        <f>VLOOKUP(Z6,$AE$6:$AK$13,6,FALSE)</f>
        <v>#N/A</v>
      </c>
      <c r="AK16" s="108" t="e">
        <f>VLOOKUP(Z6,$AE$6:$AK$13,7,FALSE)</f>
        <v>#N/A</v>
      </c>
    </row>
    <row r="17" spans="1:33" s="2" customFormat="1" ht="30" customHeight="1" thickBot="1">
      <c r="A17" s="188" t="s">
        <v>209</v>
      </c>
      <c r="B17" s="189"/>
      <c r="C17" s="189"/>
      <c r="D17" s="189"/>
      <c r="E17" s="189"/>
      <c r="F17" s="189"/>
      <c r="G17" s="189"/>
      <c r="H17" s="189"/>
      <c r="I17" s="147">
        <f>W10</f>
        <v>0</v>
      </c>
      <c r="J17" s="148"/>
      <c r="K17" s="148"/>
      <c r="L17" s="156"/>
      <c r="M17" s="157"/>
      <c r="N17" s="190" t="e">
        <f>IF(AE16=1,AG16,IF(AE16=2,AI16,IF(AE16=3,AK16,"-")))</f>
        <v>#N/A</v>
      </c>
      <c r="O17" s="191"/>
      <c r="P17" s="191"/>
      <c r="Q17" s="156"/>
      <c r="R17" s="157"/>
      <c r="S17" s="149" t="e">
        <f>IF(N17="-","",(IF(N17&gt;=I17,"適合","不適合")))</f>
        <v>#N/A</v>
      </c>
      <c r="T17" s="149"/>
      <c r="U17" s="149"/>
      <c r="V17" s="149"/>
      <c r="W17" s="150"/>
      <c r="Y17" s="112"/>
      <c r="Z17" s="139" t="s">
        <v>189</v>
      </c>
      <c r="AA17" s="140"/>
      <c r="AB17" s="141"/>
    </row>
    <row r="18" spans="1:33" s="2" customFormat="1" ht="30" customHeight="1">
      <c r="AE18" s="132" t="s">
        <v>203</v>
      </c>
      <c r="AF18" s="127" t="s">
        <v>212</v>
      </c>
      <c r="AG18" s="124">
        <f>'Ａ（北）'!V38+'Ａ（北東）'!V38+'Ａ（東）'!V38+'Ａ（南東）'!V38+'Ａ（南）'!V38+'Ａ（南西）'!V38+'Ａ（西）'!V38+'Ａ（北西）'!V38+'Ｂ（屋根・床等）'!V32+'Ｃ（基礎）'!K34</f>
        <v>0</v>
      </c>
    </row>
    <row r="19" spans="1:33" s="2" customFormat="1" ht="30" customHeight="1">
      <c r="AE19" s="132"/>
      <c r="AF19" s="126" t="s">
        <v>201</v>
      </c>
      <c r="AG19" s="124">
        <f>'Ａ（北）'!V36+'Ａ（北東）'!V36+'Ａ（東）'!V36+'Ａ（南東）'!V36+'Ａ（南）'!V36+'Ａ（南西）'!V36+'Ａ（西）'!V36+'Ａ（北西）'!V36+'Ｂ（屋根・床等）'!V30</f>
        <v>0</v>
      </c>
    </row>
    <row r="20" spans="1:33" s="2" customFormat="1" ht="30" customHeight="1">
      <c r="B20" s="15" t="s">
        <v>34</v>
      </c>
      <c r="C20" s="16"/>
      <c r="D20" s="16"/>
      <c r="E20" s="16"/>
      <c r="F20" s="16"/>
      <c r="G20" s="16"/>
      <c r="H20" s="16"/>
      <c r="I20" s="16"/>
      <c r="J20" s="16"/>
      <c r="K20" s="16"/>
      <c r="L20" s="16"/>
      <c r="M20" s="16"/>
      <c r="N20" s="16"/>
      <c r="O20" s="16"/>
      <c r="P20" s="16"/>
      <c r="Q20" s="16"/>
      <c r="R20" s="16"/>
      <c r="S20" s="16"/>
      <c r="T20" s="16"/>
      <c r="U20" s="16"/>
      <c r="V20" s="16"/>
      <c r="W20" s="16"/>
      <c r="X20" s="16"/>
      <c r="Y20" s="16"/>
      <c r="Z20" s="16"/>
      <c r="AA20" s="17"/>
      <c r="AE20" s="132"/>
      <c r="AF20" s="126" t="s">
        <v>202</v>
      </c>
      <c r="AG20" s="124">
        <f>'Ａ（北）'!V37+'Ａ（北東）'!V37+'Ａ（東）'!V37+'Ａ（南東）'!V37+'Ａ（南）'!V37+'Ａ（南西）'!V37+'Ａ（西）'!V37+'Ａ（北西）'!V37+'Ｂ（屋根・床等）'!V31</f>
        <v>0</v>
      </c>
    </row>
    <row r="21" spans="1:33" s="2" customFormat="1" ht="30" customHeight="1">
      <c r="B21" s="7" t="s">
        <v>35</v>
      </c>
      <c r="C21" s="6"/>
      <c r="D21" s="6"/>
      <c r="E21" s="6"/>
      <c r="F21" s="6"/>
      <c r="G21" s="6"/>
      <c r="H21" s="6"/>
      <c r="I21" s="6"/>
      <c r="J21" s="6"/>
      <c r="K21" s="6"/>
      <c r="L21" s="6"/>
      <c r="M21" s="6"/>
      <c r="N21" s="6"/>
      <c r="O21" s="6"/>
      <c r="P21" s="6"/>
      <c r="Q21" s="6"/>
      <c r="R21" s="6"/>
      <c r="S21" s="6"/>
      <c r="T21" s="6"/>
      <c r="U21" s="6"/>
      <c r="V21" s="6"/>
      <c r="W21" s="6"/>
      <c r="X21" s="6"/>
      <c r="Y21" s="6"/>
      <c r="Z21" s="6"/>
      <c r="AA21" s="18"/>
      <c r="AF21"/>
    </row>
    <row r="22" spans="1:33" s="2" customFormat="1" ht="30" customHeight="1">
      <c r="B22" s="7" t="s">
        <v>213</v>
      </c>
      <c r="C22" s="6"/>
      <c r="D22" s="6"/>
      <c r="E22" s="6"/>
      <c r="F22" s="6"/>
      <c r="G22" s="6"/>
      <c r="H22" s="6"/>
      <c r="I22" s="6"/>
      <c r="J22" s="6"/>
      <c r="K22" s="6"/>
      <c r="L22" s="6"/>
      <c r="M22" s="6"/>
      <c r="N22" s="6"/>
      <c r="O22" s="6"/>
      <c r="P22" s="6"/>
      <c r="Q22" s="6"/>
      <c r="R22" s="6"/>
      <c r="S22" s="6"/>
      <c r="T22" s="6"/>
      <c r="U22" s="6"/>
      <c r="V22" s="6"/>
      <c r="W22" s="6"/>
      <c r="X22" s="6"/>
      <c r="Y22" s="6"/>
      <c r="Z22" s="6"/>
      <c r="AA22" s="18"/>
      <c r="AF22"/>
    </row>
    <row r="23" spans="1:33" s="2" customFormat="1" ht="30" customHeight="1">
      <c r="B23" s="7" t="s">
        <v>54</v>
      </c>
      <c r="C23" s="6"/>
      <c r="D23" s="6"/>
      <c r="E23" s="6"/>
      <c r="F23" s="6"/>
      <c r="G23" s="6"/>
      <c r="H23" s="6"/>
      <c r="I23" s="6"/>
      <c r="J23" s="6"/>
      <c r="K23" s="6"/>
      <c r="L23" s="6"/>
      <c r="M23" s="6"/>
      <c r="N23" s="6"/>
      <c r="O23" s="6"/>
      <c r="P23" s="6"/>
      <c r="Q23" s="6"/>
      <c r="R23" s="6"/>
      <c r="S23" s="6"/>
      <c r="T23" s="6"/>
      <c r="U23" s="6"/>
      <c r="V23" s="6"/>
      <c r="W23" s="6"/>
      <c r="X23" s="6"/>
      <c r="Y23" s="6"/>
      <c r="Z23" s="6"/>
      <c r="AA23" s="18"/>
      <c r="AF23"/>
    </row>
    <row r="24" spans="1:33" s="2" customFormat="1" ht="30" customHeight="1">
      <c r="B24" s="7" t="s">
        <v>102</v>
      </c>
      <c r="C24" s="6"/>
      <c r="D24" s="6"/>
      <c r="E24" s="6"/>
      <c r="F24" s="186" t="s">
        <v>104</v>
      </c>
      <c r="G24" s="187"/>
      <c r="H24" s="7" t="s">
        <v>103</v>
      </c>
      <c r="J24" s="6"/>
      <c r="K24" s="6"/>
      <c r="L24" s="6"/>
      <c r="M24" s="6"/>
      <c r="N24" s="6"/>
      <c r="O24" s="6"/>
      <c r="P24" s="6"/>
      <c r="Q24" s="6"/>
      <c r="R24" s="6"/>
      <c r="S24" s="6"/>
      <c r="T24" s="6"/>
      <c r="U24" s="6"/>
      <c r="V24" s="6"/>
      <c r="W24" s="6"/>
      <c r="X24" s="6"/>
      <c r="Y24" s="6"/>
      <c r="Z24" s="6"/>
      <c r="AA24" s="18"/>
      <c r="AF24"/>
    </row>
    <row r="25" spans="1:33" s="2" customFormat="1" ht="30" customHeight="1">
      <c r="B25" s="7" t="s">
        <v>116</v>
      </c>
      <c r="C25" s="6"/>
      <c r="D25" s="6"/>
      <c r="E25" s="6"/>
      <c r="F25" s="73"/>
      <c r="G25" s="73"/>
      <c r="H25" s="6"/>
      <c r="J25" s="6"/>
      <c r="K25" s="6"/>
      <c r="L25" s="6"/>
      <c r="M25" s="6"/>
      <c r="N25" s="6"/>
      <c r="O25" s="6"/>
      <c r="P25" s="6"/>
      <c r="Q25" s="6"/>
      <c r="R25" s="6"/>
      <c r="S25" s="6"/>
      <c r="T25" s="6"/>
      <c r="U25" s="6"/>
      <c r="V25" s="6"/>
      <c r="W25" s="6"/>
      <c r="X25" s="6"/>
      <c r="Y25" s="6"/>
      <c r="Z25" s="6"/>
      <c r="AA25" s="18"/>
      <c r="AF25"/>
    </row>
    <row r="26" spans="1:33" s="2" customFormat="1" ht="30" customHeight="1">
      <c r="B26" s="7" t="s">
        <v>115</v>
      </c>
      <c r="C26" s="6"/>
      <c r="D26" s="6"/>
      <c r="E26" s="6"/>
      <c r="F26" s="6"/>
      <c r="G26" s="6"/>
      <c r="H26" s="6"/>
      <c r="I26" s="6"/>
      <c r="J26" s="6"/>
      <c r="K26" s="6"/>
      <c r="L26" s="6"/>
      <c r="M26" s="6"/>
      <c r="N26" s="6"/>
      <c r="O26" s="6"/>
      <c r="P26" s="6"/>
      <c r="Q26" s="6"/>
      <c r="R26" s="6"/>
      <c r="S26" s="6"/>
      <c r="T26" s="6"/>
      <c r="U26" s="6"/>
      <c r="V26" s="6"/>
      <c r="W26" s="6"/>
      <c r="X26" s="6"/>
      <c r="Y26" s="6"/>
      <c r="Z26" s="6"/>
      <c r="AA26" s="18"/>
      <c r="AF26"/>
    </row>
    <row r="27" spans="1:33" s="2" customFormat="1" ht="30" customHeight="1">
      <c r="B27" s="7" t="s">
        <v>112</v>
      </c>
      <c r="C27" s="6"/>
      <c r="D27" s="6"/>
      <c r="E27" s="6"/>
      <c r="F27" s="6"/>
      <c r="G27" s="6"/>
      <c r="H27" s="6"/>
      <c r="I27" s="6"/>
      <c r="J27" s="6"/>
      <c r="K27" s="6"/>
      <c r="L27" s="6"/>
      <c r="M27" s="6"/>
      <c r="N27" s="6"/>
      <c r="O27" s="6"/>
      <c r="P27" s="6"/>
      <c r="Q27" s="6"/>
      <c r="R27" s="6"/>
      <c r="S27" s="6"/>
      <c r="T27" s="6"/>
      <c r="U27" s="6"/>
      <c r="V27" s="6"/>
      <c r="W27" s="6"/>
      <c r="X27" s="6"/>
      <c r="Y27" s="6"/>
      <c r="Z27" s="6"/>
      <c r="AA27" s="18"/>
      <c r="AF27"/>
    </row>
    <row r="28" spans="1:33" s="2" customFormat="1" ht="30" customHeight="1">
      <c r="B28" s="19" t="s">
        <v>225</v>
      </c>
      <c r="C28" s="5"/>
      <c r="D28" s="5"/>
      <c r="E28" s="5"/>
      <c r="F28" s="5"/>
      <c r="G28" s="5"/>
      <c r="H28" s="5"/>
      <c r="I28" s="5"/>
      <c r="J28" s="5"/>
      <c r="K28" s="5"/>
      <c r="L28" s="5"/>
      <c r="M28" s="5"/>
      <c r="N28" s="5"/>
      <c r="O28" s="5"/>
      <c r="P28" s="5"/>
      <c r="Q28" s="5"/>
      <c r="R28" s="5"/>
      <c r="S28" s="5"/>
      <c r="T28" s="5"/>
      <c r="U28" s="5"/>
      <c r="V28" s="5"/>
      <c r="W28" s="5"/>
      <c r="X28" s="5"/>
      <c r="Y28" s="5"/>
      <c r="Z28" s="5"/>
      <c r="AA28" s="20"/>
      <c r="AF28"/>
    </row>
    <row r="29" spans="1:33" s="2" customFormat="1" ht="30" customHeight="1"/>
    <row r="30" spans="1:33" s="2" customFormat="1" ht="30" customHeight="1"/>
    <row r="31" spans="1:33" s="2" customFormat="1" ht="30" customHeight="1"/>
    <row r="32" spans="1:33" s="2" customFormat="1" ht="20.100000000000001" customHeight="1"/>
    <row r="33" s="2" customFormat="1" ht="20.100000000000001" customHeight="1"/>
    <row r="34" s="2" customFormat="1" ht="20.100000000000001" customHeight="1"/>
    <row r="35" s="2" customFormat="1" ht="20.100000000000001" customHeight="1"/>
    <row r="36" s="2" customFormat="1" ht="20.100000000000001" customHeight="1"/>
    <row r="37" s="2" customFormat="1" ht="20.100000000000001" customHeight="1"/>
    <row r="38" s="2" customFormat="1" ht="20.100000000000001" customHeight="1"/>
    <row r="39" s="2" customFormat="1" ht="20.100000000000001" customHeight="1"/>
    <row r="40" s="2" customFormat="1" ht="20.100000000000001" customHeight="1"/>
    <row r="41" s="2" customFormat="1" ht="20.100000000000001" customHeight="1"/>
    <row r="42" s="2" customFormat="1" ht="20.100000000000001" customHeight="1"/>
    <row r="43" s="2" customFormat="1" ht="20.100000000000001" customHeight="1"/>
    <row r="44" s="2" customFormat="1" ht="20.100000000000001" customHeight="1"/>
    <row r="45" s="2" customFormat="1" ht="20.100000000000001" customHeight="1"/>
    <row r="46" s="2" customFormat="1" ht="20.100000000000001" customHeight="1"/>
    <row r="47" s="2" customFormat="1" ht="20.100000000000001" customHeight="1"/>
    <row r="48" s="2" customFormat="1" ht="20.100000000000001" customHeight="1"/>
    <row r="49" s="2" customFormat="1" ht="20.100000000000001" customHeight="1"/>
    <row r="50" s="2" customFormat="1" ht="20.100000000000001" customHeight="1"/>
    <row r="51" s="2" customFormat="1" ht="20.100000000000001" customHeight="1"/>
    <row r="52" s="2" customFormat="1" ht="20.100000000000001" customHeight="1"/>
    <row r="53" s="2" customFormat="1" ht="20.100000000000001" customHeight="1"/>
    <row r="54" s="2" customFormat="1" ht="20.100000000000001" customHeight="1"/>
    <row r="55" s="2" customFormat="1" ht="20.100000000000001" customHeight="1"/>
    <row r="56" s="2" customFormat="1" ht="20.100000000000001" customHeight="1"/>
    <row r="57" s="2" customFormat="1" ht="20.100000000000001" customHeight="1"/>
    <row r="58" s="2" customFormat="1" ht="20.100000000000001" customHeight="1"/>
    <row r="59" s="2" customFormat="1" ht="20.100000000000001" customHeight="1"/>
    <row r="60" s="2" customFormat="1" ht="20.100000000000001" customHeight="1"/>
    <row r="61" s="2" customFormat="1" ht="20.100000000000001" customHeight="1"/>
    <row r="62" s="2" customFormat="1" ht="20.100000000000001" customHeight="1"/>
    <row r="63" s="2" customFormat="1" ht="20.100000000000001" customHeight="1"/>
    <row r="64" s="2" customFormat="1" ht="20.100000000000001" customHeight="1"/>
    <row r="65" s="2" customFormat="1" ht="20.100000000000001" customHeight="1"/>
    <row r="66" s="2" customFormat="1" ht="20.100000000000001" customHeight="1"/>
    <row r="67" s="2" customFormat="1" ht="20.100000000000001" customHeight="1"/>
    <row r="68" s="2" customFormat="1" ht="20.100000000000001" customHeight="1"/>
    <row r="69" s="2" customFormat="1" ht="20.100000000000001" customHeight="1"/>
    <row r="70" s="2" customFormat="1" ht="20.100000000000001" customHeight="1"/>
    <row r="71" s="2" customFormat="1" ht="20.100000000000001" customHeight="1"/>
    <row r="72" s="2" customFormat="1" ht="20.100000000000001" customHeight="1"/>
    <row r="73" s="2" customFormat="1" ht="20.100000000000001" customHeight="1"/>
    <row r="74" s="2" customFormat="1" ht="20.100000000000001" customHeight="1"/>
    <row r="75" s="2" customFormat="1" ht="20.100000000000001" customHeight="1"/>
    <row r="76" s="2" customFormat="1" ht="20.100000000000001" customHeight="1"/>
    <row r="77" s="2" customFormat="1" ht="20.100000000000001" customHeight="1"/>
    <row r="78" s="2" customFormat="1" ht="20.100000000000001" customHeight="1"/>
    <row r="79" s="2" customFormat="1" ht="20.100000000000001" customHeight="1"/>
    <row r="80" s="2" customFormat="1" ht="20.100000000000001" customHeight="1"/>
    <row r="81" s="2" customFormat="1" ht="20.100000000000001" customHeight="1"/>
    <row r="82" s="2" customFormat="1" ht="20.100000000000001" customHeight="1"/>
    <row r="83" s="2" customFormat="1" ht="20.100000000000001" customHeight="1"/>
    <row r="84" s="2" customFormat="1" ht="20.100000000000001" customHeight="1"/>
    <row r="85" s="2" customFormat="1" ht="20.100000000000001" customHeight="1"/>
    <row r="86" s="2" customFormat="1" ht="20.100000000000001" customHeight="1"/>
    <row r="87" s="2" customFormat="1" ht="20.100000000000001" customHeight="1"/>
    <row r="88" s="2" customFormat="1" ht="20.100000000000001" customHeight="1"/>
    <row r="89" s="2" customFormat="1" ht="20.100000000000001" customHeight="1"/>
    <row r="90" s="2" customFormat="1" ht="20.100000000000001" customHeight="1"/>
    <row r="91" s="2" customFormat="1" ht="20.100000000000001" customHeight="1"/>
    <row r="92" s="2" customFormat="1" ht="20.100000000000001" customHeight="1"/>
    <row r="93" s="2" customFormat="1" ht="20.100000000000001" customHeight="1"/>
    <row r="94" s="2" customFormat="1" ht="20.100000000000001" customHeight="1"/>
    <row r="95" s="2" customFormat="1" ht="20.100000000000001" customHeight="1"/>
    <row r="96" s="2" customFormat="1" ht="20.100000000000001" customHeight="1"/>
    <row r="97" s="2" customFormat="1" ht="20.100000000000001" customHeight="1"/>
    <row r="98" s="2" customFormat="1" ht="20.100000000000001" customHeight="1"/>
    <row r="99" s="2" customFormat="1" ht="20.100000000000001" customHeight="1"/>
    <row r="100" s="2" customFormat="1" ht="20.100000000000001" customHeight="1"/>
    <row r="101" s="2" customFormat="1" ht="20.100000000000001" customHeight="1"/>
    <row r="102" s="2" customFormat="1" ht="20.100000000000001" customHeight="1"/>
    <row r="103" s="2" customFormat="1" ht="20.100000000000001" customHeight="1"/>
    <row r="104" s="2" customFormat="1" ht="20.100000000000001" customHeight="1"/>
    <row r="105" s="2" customFormat="1" ht="20.100000000000001" customHeight="1"/>
    <row r="106" s="2" customFormat="1" ht="20.100000000000001" customHeight="1"/>
    <row r="107" s="2" customFormat="1" ht="20.100000000000001" customHeight="1"/>
    <row r="108" s="2" customFormat="1" ht="20.100000000000001" customHeight="1"/>
    <row r="109" s="2" customFormat="1" ht="20.100000000000001" customHeight="1"/>
    <row r="110" s="2" customFormat="1" ht="20.100000000000001" customHeight="1"/>
    <row r="111" s="2" customFormat="1" ht="20.100000000000001" customHeight="1"/>
    <row r="112" s="2" customFormat="1" ht="20.100000000000001" customHeight="1"/>
    <row r="113" s="2" customFormat="1" ht="20.100000000000001" customHeight="1"/>
    <row r="114" s="2" customFormat="1" ht="20.100000000000001" customHeight="1"/>
    <row r="115" s="2" customFormat="1" ht="20.100000000000001" customHeight="1"/>
    <row r="116" s="2" customFormat="1" ht="20.100000000000001" customHeight="1"/>
    <row r="117" s="2" customFormat="1" ht="20.100000000000001" customHeight="1"/>
    <row r="118" s="2" customFormat="1" ht="20.100000000000001" customHeight="1"/>
    <row r="119" s="2" customFormat="1" ht="20.100000000000001" customHeight="1"/>
    <row r="120" s="2" customFormat="1" ht="20.100000000000001" customHeight="1"/>
    <row r="121" s="2" customFormat="1" ht="20.100000000000001" customHeight="1"/>
    <row r="122" s="2" customFormat="1" ht="20.100000000000001" customHeight="1"/>
    <row r="123" s="2" customFormat="1" ht="20.100000000000001" customHeight="1"/>
    <row r="124" s="2" customFormat="1" ht="20.100000000000001" customHeight="1"/>
    <row r="125" s="2" customFormat="1" ht="20.100000000000001" customHeight="1"/>
    <row r="126" s="2" customFormat="1" ht="20.100000000000001" customHeight="1"/>
    <row r="127" s="2" customFormat="1" ht="20.100000000000001" customHeight="1"/>
    <row r="128" s="2" customFormat="1" ht="20.100000000000001" customHeight="1"/>
    <row r="129" s="2" customFormat="1" ht="20.100000000000001" customHeight="1"/>
    <row r="130" s="2" customFormat="1" ht="20.100000000000001" customHeight="1"/>
    <row r="131" s="2" customFormat="1" ht="20.100000000000001" customHeight="1"/>
    <row r="132" s="2" customFormat="1" ht="20.100000000000001" customHeight="1"/>
    <row r="133" s="2" customFormat="1" ht="20.100000000000001" customHeight="1"/>
    <row r="134" s="2" customFormat="1" ht="20.100000000000001" customHeight="1"/>
    <row r="135" s="2" customFormat="1" ht="20.100000000000001" customHeight="1"/>
    <row r="136" s="2" customFormat="1" ht="20.100000000000001" customHeight="1"/>
    <row r="137" s="2" customFormat="1" ht="20.100000000000001" customHeight="1"/>
    <row r="138" s="2" customFormat="1" ht="20.100000000000001" customHeight="1"/>
    <row r="139" s="2" customFormat="1" ht="20.100000000000001" customHeight="1"/>
    <row r="140" s="2" customFormat="1" ht="20.100000000000001" customHeight="1"/>
    <row r="141" s="2" customFormat="1" ht="20.100000000000001" customHeight="1"/>
    <row r="142" s="3" customFormat="1" ht="20.100000000000001" customHeight="1"/>
    <row r="143" s="3" customFormat="1" ht="20.100000000000001" customHeight="1"/>
    <row r="144" ht="20.100000000000001" customHeight="1"/>
    <row r="145" ht="20.100000000000001" customHeight="1"/>
    <row r="146" ht="20.100000000000001" customHeight="1"/>
    <row r="147" ht="20.100000000000001" customHeight="1"/>
  </sheetData>
  <sheetProtection sheet="1" objects="1" scenarios="1"/>
  <mergeCells count="49">
    <mergeCell ref="A15:H15"/>
    <mergeCell ref="I15:M15"/>
    <mergeCell ref="N15:R15"/>
    <mergeCell ref="S15:W15"/>
    <mergeCell ref="A16:H16"/>
    <mergeCell ref="I16:K16"/>
    <mergeCell ref="L16:M16"/>
    <mergeCell ref="N16:P16"/>
    <mergeCell ref="Q16:R16"/>
    <mergeCell ref="F24:G24"/>
    <mergeCell ref="A17:H17"/>
    <mergeCell ref="I17:K17"/>
    <mergeCell ref="L17:M17"/>
    <mergeCell ref="N17:P17"/>
    <mergeCell ref="A10:H10"/>
    <mergeCell ref="I10:K10"/>
    <mergeCell ref="L10:M10"/>
    <mergeCell ref="A11:H11"/>
    <mergeCell ref="I11:K11"/>
    <mergeCell ref="L11:M11"/>
    <mergeCell ref="A7:H7"/>
    <mergeCell ref="AF3:AK3"/>
    <mergeCell ref="AH4:AI4"/>
    <mergeCell ref="AJ4:AK4"/>
    <mergeCell ref="A1:AB1"/>
    <mergeCell ref="A2:AB2"/>
    <mergeCell ref="A6:H6"/>
    <mergeCell ref="J6:V6"/>
    <mergeCell ref="W6:Y6"/>
    <mergeCell ref="A5:H5"/>
    <mergeCell ref="J5:AB5"/>
    <mergeCell ref="L7:M7"/>
    <mergeCell ref="N7:O7"/>
    <mergeCell ref="Q7:R7"/>
    <mergeCell ref="S7:T7"/>
    <mergeCell ref="AE18:AE20"/>
    <mergeCell ref="Z15:AB15"/>
    <mergeCell ref="Z16:AB16"/>
    <mergeCell ref="Z17:AB17"/>
    <mergeCell ref="AF4:AG4"/>
    <mergeCell ref="Z6:AB6"/>
    <mergeCell ref="AA11:AB11"/>
    <mergeCell ref="W11:Z11"/>
    <mergeCell ref="S17:W17"/>
    <mergeCell ref="S16:W16"/>
    <mergeCell ref="N11:V11"/>
    <mergeCell ref="Q17:R17"/>
    <mergeCell ref="W10:Z10"/>
    <mergeCell ref="N10:V10"/>
  </mergeCells>
  <phoneticPr fontId="2"/>
  <dataValidations count="1">
    <dataValidation type="list" allowBlank="1" showInputMessage="1" showErrorMessage="1" sqref="Z6:AB6">
      <formula1>"１地域,２地域,３地域,４地域,５地域,６地域,７地域,８地域"</formula1>
    </dataValidation>
  </dataValidations>
  <pageMargins left="0.59055118110236227" right="0.39370078740157483" top="0.98425196850393704" bottom="0.78740157480314965" header="0.31496062992125984" footer="0.39370078740157483"/>
  <pageSetup paperSize="9" scale="90" orientation="portrait" horizontalDpi="300" verticalDpi="300" r:id="rId1"/>
  <headerFooter>
    <oddHeader>&amp;Rver. 1.3 (excel2007)[H28]</oddHeader>
    <oddFooter>&amp;Cⓒ　2013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4214" r:id="rId4" name="Option Button 6">
              <controlPr defaultSize="0" autoFill="0" autoLine="0" autoPict="0">
                <anchor moveWithCells="1">
                  <from>
                    <xdr:col>24</xdr:col>
                    <xdr:colOff>28575</xdr:colOff>
                    <xdr:row>14</xdr:row>
                    <xdr:rowOff>85725</xdr:rowOff>
                  </from>
                  <to>
                    <xdr:col>25</xdr:col>
                    <xdr:colOff>57150</xdr:colOff>
                    <xdr:row>14</xdr:row>
                    <xdr:rowOff>295275</xdr:rowOff>
                  </to>
                </anchor>
              </controlPr>
            </control>
          </mc:Choice>
        </mc:AlternateContent>
        <mc:AlternateContent xmlns:mc="http://schemas.openxmlformats.org/markup-compatibility/2006">
          <mc:Choice Requires="x14">
            <control shapeId="94215" r:id="rId5" name="Option Button 7">
              <controlPr defaultSize="0" autoFill="0" autoLine="0" autoPict="0">
                <anchor moveWithCells="1">
                  <from>
                    <xdr:col>24</xdr:col>
                    <xdr:colOff>28575</xdr:colOff>
                    <xdr:row>15</xdr:row>
                    <xdr:rowOff>85725</xdr:rowOff>
                  </from>
                  <to>
                    <xdr:col>25</xdr:col>
                    <xdr:colOff>57150</xdr:colOff>
                    <xdr:row>15</xdr:row>
                    <xdr:rowOff>295275</xdr:rowOff>
                  </to>
                </anchor>
              </controlPr>
            </control>
          </mc:Choice>
        </mc:AlternateContent>
        <mc:AlternateContent xmlns:mc="http://schemas.openxmlformats.org/markup-compatibility/2006">
          <mc:Choice Requires="x14">
            <control shapeId="94216" r:id="rId6" name="Option Button 8">
              <controlPr defaultSize="0" autoFill="0" autoLine="0" autoPict="0">
                <anchor moveWithCells="1">
                  <from>
                    <xdr:col>24</xdr:col>
                    <xdr:colOff>28575</xdr:colOff>
                    <xdr:row>16</xdr:row>
                    <xdr:rowOff>85725</xdr:rowOff>
                  </from>
                  <to>
                    <xdr:col>25</xdr:col>
                    <xdr:colOff>57150</xdr:colOff>
                    <xdr:row>16</xdr:row>
                    <xdr:rowOff>295275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7"/>
  <sheetViews>
    <sheetView zoomScaleNormal="100" zoomScaleSheetLayoutView="100" workbookViewId="0">
      <selection sqref="A1:Z1"/>
    </sheetView>
  </sheetViews>
  <sheetFormatPr defaultRowHeight="13.5"/>
  <cols>
    <col min="1" max="18" width="3.875" customWidth="1"/>
    <col min="19" max="28" width="3.625" customWidth="1"/>
    <col min="29" max="30" width="11" hidden="1" customWidth="1"/>
    <col min="31" max="31" width="3.625" hidden="1" customWidth="1"/>
    <col min="32" max="33" width="9.875" hidden="1" customWidth="1"/>
    <col min="34" max="52" width="3.625" customWidth="1"/>
  </cols>
  <sheetData>
    <row r="1" spans="1:33" ht="30" customHeight="1">
      <c r="A1" s="447" t="s">
        <v>66</v>
      </c>
      <c r="B1" s="447"/>
      <c r="C1" s="447"/>
      <c r="D1" s="447"/>
      <c r="E1" s="447"/>
      <c r="F1" s="447"/>
      <c r="G1" s="447"/>
      <c r="H1" s="447"/>
      <c r="I1" s="447"/>
      <c r="J1" s="447"/>
      <c r="K1" s="447"/>
      <c r="L1" s="447"/>
      <c r="M1" s="447"/>
      <c r="N1" s="447"/>
      <c r="O1" s="447"/>
      <c r="P1" s="447"/>
      <c r="Q1" s="447"/>
      <c r="R1" s="447"/>
      <c r="S1" s="447"/>
      <c r="T1" s="447"/>
      <c r="U1" s="447"/>
      <c r="V1" s="447"/>
      <c r="W1" s="447"/>
      <c r="X1" s="447"/>
      <c r="Y1" s="447"/>
      <c r="Z1" s="447"/>
      <c r="AA1" s="74"/>
      <c r="AB1" s="74"/>
    </row>
    <row r="2" spans="1:33" ht="20.100000000000001" customHeight="1">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row>
    <row r="3" spans="1:33" ht="20.100000000000001" customHeight="1" thickBot="1">
      <c r="A3" s="4" t="s">
        <v>64</v>
      </c>
      <c r="B3" s="2"/>
      <c r="C3" s="2"/>
      <c r="D3" s="2"/>
      <c r="E3" s="2"/>
      <c r="F3" s="2"/>
      <c r="G3" s="2"/>
      <c r="H3" s="2"/>
      <c r="I3" s="2"/>
      <c r="J3" s="2"/>
      <c r="K3" s="2"/>
      <c r="L3" s="2"/>
      <c r="M3" s="2"/>
      <c r="N3" s="2"/>
      <c r="O3" s="2"/>
      <c r="P3" s="2"/>
      <c r="Q3" s="2"/>
      <c r="R3" s="2"/>
      <c r="S3" s="67"/>
      <c r="T3" s="67"/>
      <c r="U3" s="67"/>
      <c r="V3" s="67"/>
      <c r="W3" s="6"/>
      <c r="X3" s="6"/>
      <c r="Y3" s="6"/>
      <c r="Z3" s="6"/>
      <c r="AA3" s="2"/>
      <c r="AB3" s="2"/>
    </row>
    <row r="4" spans="1:33" ht="20.100000000000001" customHeight="1">
      <c r="A4" s="448" t="s">
        <v>6</v>
      </c>
      <c r="B4" s="427"/>
      <c r="C4" s="427" t="s">
        <v>113</v>
      </c>
      <c r="D4" s="427"/>
      <c r="E4" s="427"/>
      <c r="F4" s="427"/>
      <c r="G4" s="427" t="s">
        <v>7</v>
      </c>
      <c r="H4" s="427"/>
      <c r="I4" s="426" t="s">
        <v>226</v>
      </c>
      <c r="J4" s="427"/>
      <c r="K4" s="429" t="s">
        <v>10</v>
      </c>
      <c r="L4" s="430"/>
      <c r="M4" s="426" t="s">
        <v>88</v>
      </c>
      <c r="N4" s="427"/>
      <c r="O4" s="426" t="s">
        <v>87</v>
      </c>
      <c r="P4" s="427"/>
      <c r="Q4" s="427" t="s">
        <v>13</v>
      </c>
      <c r="R4" s="438"/>
      <c r="S4" s="68"/>
      <c r="T4" s="67"/>
      <c r="U4" s="67"/>
      <c r="V4" s="67"/>
      <c r="W4" s="35"/>
      <c r="X4" s="35"/>
      <c r="Y4" s="35"/>
      <c r="Z4" s="35"/>
      <c r="AC4" s="57" t="s">
        <v>109</v>
      </c>
      <c r="AD4" s="57"/>
      <c r="AF4" s="2" t="s">
        <v>14</v>
      </c>
      <c r="AG4" s="2"/>
    </row>
    <row r="5" spans="1:33" ht="20.100000000000001" customHeight="1" thickBot="1">
      <c r="A5" s="449"/>
      <c r="B5" s="428"/>
      <c r="C5" s="450" t="s">
        <v>9</v>
      </c>
      <c r="D5" s="451"/>
      <c r="E5" s="452" t="s">
        <v>8</v>
      </c>
      <c r="F5" s="428"/>
      <c r="G5" s="428"/>
      <c r="H5" s="428"/>
      <c r="I5" s="428"/>
      <c r="J5" s="428"/>
      <c r="K5" s="431"/>
      <c r="L5" s="431"/>
      <c r="M5" s="428"/>
      <c r="N5" s="428"/>
      <c r="O5" s="428"/>
      <c r="P5" s="428"/>
      <c r="Q5" s="428"/>
      <c r="R5" s="439"/>
      <c r="S5" s="69"/>
      <c r="T5" s="70"/>
      <c r="U5" s="70"/>
      <c r="V5" s="70"/>
      <c r="W5" s="35"/>
      <c r="X5" s="35"/>
      <c r="Y5" s="35"/>
      <c r="Z5" s="35"/>
      <c r="AC5" s="57" t="s">
        <v>107</v>
      </c>
      <c r="AD5" s="57" t="s">
        <v>105</v>
      </c>
      <c r="AF5" s="2" t="s">
        <v>4</v>
      </c>
      <c r="AG5" s="2" t="s">
        <v>18</v>
      </c>
    </row>
    <row r="6" spans="1:33" ht="20.100000000000001" customHeight="1">
      <c r="A6" s="218"/>
      <c r="B6" s="444"/>
      <c r="C6" s="279"/>
      <c r="D6" s="280"/>
      <c r="E6" s="280"/>
      <c r="F6" s="281"/>
      <c r="G6" s="282"/>
      <c r="H6" s="282"/>
      <c r="I6" s="282"/>
      <c r="J6" s="282"/>
      <c r="K6" s="283" t="s">
        <v>85</v>
      </c>
      <c r="L6" s="283"/>
      <c r="M6" s="441" t="str">
        <f>IF(C6="","",C6*E6*I6*AF6)</f>
        <v/>
      </c>
      <c r="N6" s="441"/>
      <c r="O6" s="445" t="str">
        <f>IF(C6="","",IF(共通条件・結果!$Z$6="８地域","-",C6*E6*I6*AG6))</f>
        <v/>
      </c>
      <c r="P6" s="445"/>
      <c r="Q6" s="441" t="str">
        <f>IF(C6="","",C6*E6*AC6)</f>
        <v/>
      </c>
      <c r="R6" s="446"/>
      <c r="S6" s="92"/>
      <c r="T6" s="80"/>
      <c r="U6" s="80"/>
      <c r="V6" s="80"/>
      <c r="W6" s="35"/>
      <c r="X6" s="35"/>
      <c r="Y6" s="35"/>
      <c r="Z6" s="35"/>
      <c r="AC6" s="57">
        <f>IF(共通条件・結果!$Z$6="８地域",G6,IF(AD6="FALSE",G6,0.5*G6+0.5*(1/((1/G6)+AD6))))</f>
        <v>0</v>
      </c>
      <c r="AD6" s="56" t="str">
        <f>IF(C6="","FALSE",IF(K6="雨戸",0.1,IF(K6="ｼｬｯﾀｰ",0.1,IF(K6="障子",0.18))))</f>
        <v>FALSE</v>
      </c>
      <c r="AF6" s="57" t="b">
        <f>IF(共通条件・結果!$Z$6="１地域","0.93",IF(共通条件・結果!$Z$6="２地域","0.93",IF(共通条件・結果!$Z$6="３地域","0.93",IF(共通条件・結果!$Z$6="４地域","0.94",IF(共通条件・結果!$Z$6="５地域","0.93",IF(共通条件・結果!$Z$6="６地域","0.94",IF(共通条件・結果!$Z$6="７地域","0.94",IF(共通条件・結果!$Z$6="８地域","0.93"))))))))</f>
        <v>0</v>
      </c>
      <c r="AG6" s="57" t="b">
        <f>IF(共通条件・結果!$Z$6="１地域","0.80",IF(共通条件・結果!$Z$6="２地域","0.81",IF(共通条件・結果!$Z$6="３地域","0.81",IF(共通条件・結果!$Z$6="４地域","0.82",IF(共通条件・結果!$Z$6="５地域","0.80",IF(共通条件・結果!$Z$6="６地域","0.80",IF(共通条件・結果!$Z$6="７地域","0.80",IF(共通条件・結果!$Z$6="８地域","-"))))))))</f>
        <v>0</v>
      </c>
    </row>
    <row r="7" spans="1:33" ht="20.100000000000001" customHeight="1">
      <c r="A7" s="216"/>
      <c r="B7" s="443"/>
      <c r="C7" s="209"/>
      <c r="D7" s="210"/>
      <c r="E7" s="210"/>
      <c r="F7" s="211"/>
      <c r="G7" s="212"/>
      <c r="H7" s="212"/>
      <c r="I7" s="212"/>
      <c r="J7" s="212"/>
      <c r="K7" s="213" t="s">
        <v>85</v>
      </c>
      <c r="L7" s="213"/>
      <c r="M7" s="401" t="str">
        <f>IF(C7="","",C7*E7*I7*AF7)</f>
        <v/>
      </c>
      <c r="N7" s="401"/>
      <c r="O7" s="401" t="str">
        <f>IF(C7="","",IF(共通条件・結果!$Z$6="８地域","-",C7*E7*I7*AG7))</f>
        <v/>
      </c>
      <c r="P7" s="401"/>
      <c r="Q7" s="401" t="str">
        <f>IF(C7="","",C7*E7*AC7)</f>
        <v/>
      </c>
      <c r="R7" s="402"/>
      <c r="S7" s="93"/>
      <c r="T7" s="73"/>
      <c r="U7" s="73"/>
      <c r="V7" s="73"/>
      <c r="W7" s="35"/>
      <c r="X7" s="35"/>
      <c r="Y7" s="35"/>
      <c r="Z7" s="35"/>
      <c r="AC7" s="57">
        <f>IF(共通条件・結果!$Z$6="８地域",G7,IF(AD7="FALSE",G7,0.5*G7+0.5*(1/((1/G7)+AD7))))</f>
        <v>0</v>
      </c>
      <c r="AD7" s="56" t="str">
        <f>IF(C7="","FALSE",IF(K7="雨戸",0.1,IF(K7="ｼｬｯﾀｰ",0.1,IF(K7="障子",0.18))))</f>
        <v>FALSE</v>
      </c>
      <c r="AF7" s="57" t="b">
        <f>IF(共通条件・結果!$Z$6="１地域","0.93",IF(共通条件・結果!$Z$6="２地域","0.93",IF(共通条件・結果!$Z$6="３地域","0.93",IF(共通条件・結果!$Z$6="４地域","0.94",IF(共通条件・結果!$Z$6="５地域","0.93",IF(共通条件・結果!$Z$6="６地域","0.94",IF(共通条件・結果!$Z$6="７地域","0.94",IF(共通条件・結果!$Z$6="８地域","0.93"))))))))</f>
        <v>0</v>
      </c>
      <c r="AG7" s="57" t="b">
        <f>IF(共通条件・結果!$Z$6="１地域","0.80",IF(共通条件・結果!$Z$6="２地域","0.81",IF(共通条件・結果!$Z$6="３地域","0.81",IF(共通条件・結果!$Z$6="４地域","0.82",IF(共通条件・結果!$Z$6="５地域","0.80",IF(共通条件・結果!$Z$6="６地域","0.80",IF(共通条件・結果!$Z$6="７地域","0.80",IF(共通条件・結果!$Z$6="８地域","-"))))))))</f>
        <v>0</v>
      </c>
    </row>
    <row r="8" spans="1:33" ht="20.100000000000001" customHeight="1">
      <c r="A8" s="216"/>
      <c r="B8" s="443"/>
      <c r="C8" s="209"/>
      <c r="D8" s="210"/>
      <c r="E8" s="210"/>
      <c r="F8" s="211"/>
      <c r="G8" s="212"/>
      <c r="H8" s="212"/>
      <c r="I8" s="212"/>
      <c r="J8" s="212"/>
      <c r="K8" s="213" t="s">
        <v>85</v>
      </c>
      <c r="L8" s="213"/>
      <c r="M8" s="401" t="str">
        <f>IF(C8="","",C8*E8*I8*AF8)</f>
        <v/>
      </c>
      <c r="N8" s="401"/>
      <c r="O8" s="401" t="str">
        <f>IF(C8="","",IF(共通条件・結果!$Z$6="８地域","-",C8*E8*I8*AG8))</f>
        <v/>
      </c>
      <c r="P8" s="401"/>
      <c r="Q8" s="401" t="str">
        <f>IF(C8="","",C8*E8*AC8)</f>
        <v/>
      </c>
      <c r="R8" s="402"/>
      <c r="S8" s="93"/>
      <c r="T8" s="73"/>
      <c r="U8" s="73"/>
      <c r="V8" s="73"/>
      <c r="W8" s="35"/>
      <c r="X8" s="35"/>
      <c r="Y8" s="35"/>
      <c r="Z8" s="35"/>
      <c r="AC8" s="57">
        <f>IF(共通条件・結果!$Z$6="８地域",G8,IF(AD8="FALSE",G8,0.5*G8+0.5*(1/((1/G8)+AD8))))</f>
        <v>0</v>
      </c>
      <c r="AD8" s="56" t="str">
        <f>IF(C8="","FALSE",IF(K8="雨戸",0.1,IF(K8="ｼｬｯﾀｰ",0.1,IF(K8="障子",0.18))))</f>
        <v>FALSE</v>
      </c>
      <c r="AF8" s="57" t="b">
        <f>IF(共通条件・結果!$Z$6="１地域","0.93",IF(共通条件・結果!$Z$6="２地域","0.93",IF(共通条件・結果!$Z$6="３地域","0.93",IF(共通条件・結果!$Z$6="４地域","0.94",IF(共通条件・結果!$Z$6="５地域","0.93",IF(共通条件・結果!$Z$6="６地域","0.94",IF(共通条件・結果!$Z$6="７地域","0.94",IF(共通条件・結果!$Z$6="８地域","0.93"))))))))</f>
        <v>0</v>
      </c>
      <c r="AG8" s="57" t="b">
        <f>IF(共通条件・結果!$Z$6="１地域","0.80",IF(共通条件・結果!$Z$6="２地域","0.81",IF(共通条件・結果!$Z$6="３地域","0.81",IF(共通条件・結果!$Z$6="４地域","0.82",IF(共通条件・結果!$Z$6="５地域","0.80",IF(共通条件・結果!$Z$6="６地域","0.80",IF(共通条件・結果!$Z$6="７地域","0.80",IF(共通条件・結果!$Z$6="８地域","-"))))))))</f>
        <v>0</v>
      </c>
    </row>
    <row r="9" spans="1:33" ht="20.100000000000001" customHeight="1">
      <c r="A9" s="216"/>
      <c r="B9" s="443"/>
      <c r="C9" s="209"/>
      <c r="D9" s="210"/>
      <c r="E9" s="210"/>
      <c r="F9" s="211"/>
      <c r="G9" s="212"/>
      <c r="H9" s="212"/>
      <c r="I9" s="212"/>
      <c r="J9" s="212"/>
      <c r="K9" s="213" t="s">
        <v>85</v>
      </c>
      <c r="L9" s="213"/>
      <c r="M9" s="401" t="str">
        <f>IF(C9="","",C9*E9*I9*AF9)</f>
        <v/>
      </c>
      <c r="N9" s="401"/>
      <c r="O9" s="401" t="str">
        <f>IF(C9="","",IF(共通条件・結果!$Z$6="８地域","-",C9*E9*I9*AG9))</f>
        <v/>
      </c>
      <c r="P9" s="401"/>
      <c r="Q9" s="401" t="str">
        <f>IF(C9="","",C9*E9*AC9)</f>
        <v/>
      </c>
      <c r="R9" s="402"/>
      <c r="S9" s="92"/>
      <c r="T9" s="80"/>
      <c r="U9" s="80"/>
      <c r="V9" s="80"/>
      <c r="W9" s="35"/>
      <c r="X9" s="35"/>
      <c r="Y9" s="35"/>
      <c r="Z9" s="35"/>
      <c r="AC9" s="57">
        <f>IF(共通条件・結果!$Z$6="８地域",G9,IF(AD9="FALSE",G9,0.5*G9+0.5*(1/((1/G9)+AD9))))</f>
        <v>0</v>
      </c>
      <c r="AD9" s="56" t="str">
        <f>IF(C9="","FALSE",IF(K9="雨戸",0.1,IF(K9="ｼｬｯﾀｰ",0.1,IF(K9="障子",0.18))))</f>
        <v>FALSE</v>
      </c>
      <c r="AF9" s="57" t="b">
        <f>IF(共通条件・結果!$Z$6="１地域","0.93",IF(共通条件・結果!$Z$6="２地域","0.93",IF(共通条件・結果!$Z$6="３地域","0.93",IF(共通条件・結果!$Z$6="４地域","0.94",IF(共通条件・結果!$Z$6="５地域","0.93",IF(共通条件・結果!$Z$6="６地域","0.94",IF(共通条件・結果!$Z$6="７地域","0.94",IF(共通条件・結果!$Z$6="８地域","0.93"))))))))</f>
        <v>0</v>
      </c>
      <c r="AG9" s="57" t="b">
        <f>IF(共通条件・結果!$Z$6="１地域","0.80",IF(共通条件・結果!$Z$6="２地域","0.81",IF(共通条件・結果!$Z$6="３地域","0.81",IF(共通条件・結果!$Z$6="４地域","0.82",IF(共通条件・結果!$Z$6="５地域","0.80",IF(共通条件・結果!$Z$6="６地域","0.80",IF(共通条件・結果!$Z$6="７地域","0.80",IF(共通条件・結果!$Z$6="８地域","-"))))))))</f>
        <v>0</v>
      </c>
    </row>
    <row r="10" spans="1:33" ht="20.100000000000001" customHeight="1" thickBot="1">
      <c r="A10" s="214"/>
      <c r="B10" s="440"/>
      <c r="C10" s="209"/>
      <c r="D10" s="210"/>
      <c r="E10" s="210"/>
      <c r="F10" s="211"/>
      <c r="G10" s="212"/>
      <c r="H10" s="212"/>
      <c r="I10" s="212"/>
      <c r="J10" s="212"/>
      <c r="K10" s="283"/>
      <c r="L10" s="283"/>
      <c r="M10" s="441" t="str">
        <f>IF(C10="","",C10*E10*I10*AF10)</f>
        <v/>
      </c>
      <c r="N10" s="441"/>
      <c r="O10" s="442" t="str">
        <f>IF(C10="","",IF(共通条件・結果!$Z$6="８地域","-",C10*E10*I10*AG10))</f>
        <v/>
      </c>
      <c r="P10" s="442"/>
      <c r="Q10" s="401" t="str">
        <f>IF(C10="","",C10*E10*AC10)</f>
        <v/>
      </c>
      <c r="R10" s="402"/>
      <c r="S10" s="92"/>
      <c r="T10" s="80"/>
      <c r="U10" s="80"/>
      <c r="V10" s="80"/>
      <c r="W10" s="35"/>
      <c r="X10" s="35"/>
      <c r="Y10" s="35"/>
      <c r="Z10" s="35"/>
      <c r="AC10" s="57">
        <f>IF(共通条件・結果!$Z$6="８地域",G10,IF(AD10="FALSE",G10,0.5*G10+0.5*(1/((1/G10)+AD10))))</f>
        <v>0</v>
      </c>
      <c r="AD10" s="56" t="str">
        <f>IF(C10="","FALSE",IF(K10="雨戸",0.1,IF(K10="ｼｬｯﾀｰ",0.1,IF(K10="障子",0.18))))</f>
        <v>FALSE</v>
      </c>
      <c r="AF10" s="57" t="b">
        <f>IF(共通条件・結果!$Z$6="１地域","0.93",IF(共通条件・結果!$Z$6="２地域","0.93",IF(共通条件・結果!$Z$6="３地域","0.93",IF(共通条件・結果!$Z$6="４地域","0.94",IF(共通条件・結果!$Z$6="５地域","0.93",IF(共通条件・結果!$Z$6="６地域","0.94",IF(共通条件・結果!$Z$6="７地域","0.94",IF(共通条件・結果!$Z$6="８地域","0.93"))))))))</f>
        <v>0</v>
      </c>
      <c r="AG10" s="57" t="b">
        <f>IF(共通条件・結果!$Z$6="１地域","0.80",IF(共通条件・結果!$Z$6="２地域","0.81",IF(共通条件・結果!$Z$6="３地域","0.81",IF(共通条件・結果!$Z$6="４地域","0.82",IF(共通条件・結果!$Z$6="５地域","0.80",IF(共通条件・結果!$Z$6="６地域","0.80",IF(共通条件・結果!$Z$6="７地域","0.80",IF(共通条件・結果!$Z$6="８地域","-"))))))))</f>
        <v>0</v>
      </c>
    </row>
    <row r="11" spans="1:33" ht="20.100000000000001" customHeight="1" thickBot="1">
      <c r="A11" s="419" t="s">
        <v>169</v>
      </c>
      <c r="B11" s="420"/>
      <c r="C11" s="420"/>
      <c r="D11" s="420"/>
      <c r="E11" s="420"/>
      <c r="F11" s="420"/>
      <c r="G11" s="420"/>
      <c r="H11" s="420"/>
      <c r="I11" s="420"/>
      <c r="J11" s="420"/>
      <c r="K11" s="420"/>
      <c r="L11" s="421"/>
      <c r="M11" s="395">
        <f>SUM(M6:N10)</f>
        <v>0</v>
      </c>
      <c r="N11" s="395"/>
      <c r="O11" s="395">
        <f>SUM(O6:P10)</f>
        <v>0</v>
      </c>
      <c r="P11" s="395"/>
      <c r="Q11" s="395">
        <f>SUM(Q6:R10)</f>
        <v>0</v>
      </c>
      <c r="R11" s="396"/>
      <c r="S11" s="94"/>
      <c r="T11" s="95"/>
      <c r="U11" s="95"/>
      <c r="V11" s="95"/>
      <c r="W11" s="35"/>
      <c r="X11" s="35"/>
      <c r="Y11" s="35"/>
      <c r="Z11" s="35"/>
      <c r="AC11" s="57"/>
      <c r="AD11" s="56"/>
    </row>
    <row r="12" spans="1:33" ht="20.100000000000001" customHeight="1">
      <c r="A12" s="76"/>
      <c r="B12" s="76"/>
      <c r="C12" s="76"/>
      <c r="D12" s="76"/>
      <c r="E12" s="76"/>
      <c r="F12" s="76"/>
      <c r="G12" s="76"/>
      <c r="H12" s="76"/>
      <c r="I12" s="76"/>
      <c r="J12" s="76"/>
      <c r="K12" s="76"/>
      <c r="L12" s="76"/>
      <c r="M12" s="76"/>
      <c r="N12" s="76"/>
      <c r="O12" s="76"/>
      <c r="P12" s="76"/>
      <c r="Q12" s="76"/>
      <c r="R12" s="76"/>
      <c r="S12" s="76"/>
      <c r="T12" s="76"/>
      <c r="U12" s="76"/>
      <c r="V12" s="76"/>
      <c r="W12" s="2"/>
      <c r="X12" s="2"/>
      <c r="Y12" s="2"/>
      <c r="Z12" s="2"/>
      <c r="AA12" s="2"/>
      <c r="AB12" s="2"/>
      <c r="AC12" s="57"/>
      <c r="AD12" s="56"/>
    </row>
    <row r="13" spans="1:33" ht="20.100000000000001" customHeight="1" thickBot="1">
      <c r="A13" s="77" t="s">
        <v>67</v>
      </c>
      <c r="B13" s="76"/>
      <c r="C13" s="76"/>
      <c r="D13" s="76"/>
      <c r="E13" s="76"/>
      <c r="F13" s="76"/>
      <c r="G13" s="76"/>
      <c r="H13" s="76"/>
      <c r="I13" s="76"/>
      <c r="J13" s="76"/>
      <c r="K13" s="76"/>
      <c r="L13" s="76"/>
      <c r="M13" s="76"/>
      <c r="N13" s="76"/>
      <c r="O13" s="76"/>
      <c r="P13" s="76"/>
      <c r="Q13" s="76"/>
      <c r="R13" s="76"/>
      <c r="S13" s="76"/>
      <c r="T13" s="76"/>
      <c r="U13" s="76"/>
      <c r="V13" s="76"/>
      <c r="W13" s="2"/>
      <c r="X13" s="2"/>
      <c r="Y13" s="2"/>
      <c r="Z13" s="2"/>
      <c r="AA13" s="2"/>
      <c r="AB13" s="2"/>
    </row>
    <row r="14" spans="1:33" ht="20.100000000000001" customHeight="1">
      <c r="A14" s="422" t="s">
        <v>0</v>
      </c>
      <c r="B14" s="423"/>
      <c r="C14" s="426" t="s">
        <v>84</v>
      </c>
      <c r="D14" s="427"/>
      <c r="E14" s="426" t="s">
        <v>68</v>
      </c>
      <c r="F14" s="427"/>
      <c r="G14" s="426" t="s">
        <v>200</v>
      </c>
      <c r="H14" s="427"/>
      <c r="I14" s="429" t="s">
        <v>63</v>
      </c>
      <c r="J14" s="430"/>
      <c r="K14" s="432" t="s">
        <v>7</v>
      </c>
      <c r="L14" s="423"/>
      <c r="M14" s="434" t="s">
        <v>88</v>
      </c>
      <c r="N14" s="435"/>
      <c r="O14" s="434" t="s">
        <v>87</v>
      </c>
      <c r="P14" s="435"/>
      <c r="Q14" s="427" t="s">
        <v>13</v>
      </c>
      <c r="R14" s="438"/>
    </row>
    <row r="15" spans="1:33" ht="20.100000000000001" customHeight="1" thickBot="1">
      <c r="A15" s="424"/>
      <c r="B15" s="425"/>
      <c r="C15" s="428"/>
      <c r="D15" s="428"/>
      <c r="E15" s="428"/>
      <c r="F15" s="428"/>
      <c r="G15" s="428"/>
      <c r="H15" s="428"/>
      <c r="I15" s="431"/>
      <c r="J15" s="431"/>
      <c r="K15" s="433"/>
      <c r="L15" s="425"/>
      <c r="M15" s="436"/>
      <c r="N15" s="437"/>
      <c r="O15" s="436"/>
      <c r="P15" s="437"/>
      <c r="Q15" s="428"/>
      <c r="R15" s="439"/>
      <c r="AC15" s="1" t="s">
        <v>114</v>
      </c>
    </row>
    <row r="16" spans="1:33" ht="20.100000000000001" customHeight="1">
      <c r="A16" s="218"/>
      <c r="B16" s="219"/>
      <c r="C16" s="409"/>
      <c r="D16" s="410"/>
      <c r="E16" s="334"/>
      <c r="F16" s="335"/>
      <c r="G16" s="334"/>
      <c r="H16" s="335"/>
      <c r="I16" s="411" t="str">
        <f>IF(E16="","",E16-G16)</f>
        <v/>
      </c>
      <c r="J16" s="412"/>
      <c r="K16" s="409"/>
      <c r="L16" s="410"/>
      <c r="M16" s="413" t="str">
        <f t="shared" ref="M16:M23" si="0">IF($C16="","",IF(OR($C16="外気床",$C16="その他床"),0,IF(OR($C16="屋根",$C16="天井"),I16*K16*0.034)))</f>
        <v/>
      </c>
      <c r="N16" s="414"/>
      <c r="O16" s="415" t="str">
        <f>IF(C16="","",IF(共通条件・結果!$Z$6="８地域","-",IF($C16="　","",IF(OR($C16="外気床",$C16="その他床"),0,IF(OR($C16="屋根",$C16="天井"),I16*K16*0.034)))))</f>
        <v/>
      </c>
      <c r="P16" s="416"/>
      <c r="Q16" s="417" t="str">
        <f t="shared" ref="Q16:Q23" si="1">IF(E16="","",I16*K16*AC16)</f>
        <v/>
      </c>
      <c r="R16" s="418"/>
      <c r="AC16" s="71">
        <f>IF(C16="　","FALSE",IF(C16="その他床",0.7,1))</f>
        <v>1</v>
      </c>
    </row>
    <row r="17" spans="1:29" ht="20.100000000000001" customHeight="1">
      <c r="A17" s="216"/>
      <c r="B17" s="217"/>
      <c r="C17" s="332"/>
      <c r="D17" s="333"/>
      <c r="E17" s="332"/>
      <c r="F17" s="333"/>
      <c r="G17" s="332"/>
      <c r="H17" s="333"/>
      <c r="I17" s="407" t="str">
        <f t="shared" ref="I17:I23" si="2">IF(E17="","",E17-G17)</f>
        <v/>
      </c>
      <c r="J17" s="408"/>
      <c r="K17" s="332"/>
      <c r="L17" s="333"/>
      <c r="M17" s="405" t="str">
        <f t="shared" si="0"/>
        <v/>
      </c>
      <c r="N17" s="406"/>
      <c r="O17" s="405" t="str">
        <f>IF(C17="","",IF(共通条件・結果!$Z$6="８地域","-",IF($C17="　","",IF(OR($C17="外気床",$C17="その他床"),0,IF(OR($C17="屋根",$C17="天井"),I17*K17*0.034)))))</f>
        <v/>
      </c>
      <c r="P17" s="406"/>
      <c r="Q17" s="401" t="str">
        <f t="shared" si="1"/>
        <v/>
      </c>
      <c r="R17" s="402"/>
      <c r="AC17" s="72">
        <f t="shared" ref="AC17:AC23" si="3">IF(C17="　","FALSE",IF(C17="その他床",0.7,1))</f>
        <v>1</v>
      </c>
    </row>
    <row r="18" spans="1:29" ht="20.100000000000001" customHeight="1">
      <c r="A18" s="216"/>
      <c r="B18" s="217"/>
      <c r="C18" s="332"/>
      <c r="D18" s="333"/>
      <c r="E18" s="332"/>
      <c r="F18" s="333"/>
      <c r="G18" s="332"/>
      <c r="H18" s="333"/>
      <c r="I18" s="407" t="str">
        <f t="shared" si="2"/>
        <v/>
      </c>
      <c r="J18" s="408"/>
      <c r="K18" s="332"/>
      <c r="L18" s="333"/>
      <c r="M18" s="405" t="str">
        <f t="shared" si="0"/>
        <v/>
      </c>
      <c r="N18" s="406"/>
      <c r="O18" s="405" t="str">
        <f>IF(C18="","",IF(共通条件・結果!$Z$6="８地域","-",IF($C18="　","",IF(OR($C18="外気床",$C18="その他床"),0,IF(OR($C18="屋根",$C18="天井"),I18*K18*0.034)))))</f>
        <v/>
      </c>
      <c r="P18" s="406"/>
      <c r="Q18" s="401" t="str">
        <f t="shared" si="1"/>
        <v/>
      </c>
      <c r="R18" s="402"/>
      <c r="AC18" s="72">
        <f t="shared" si="3"/>
        <v>1</v>
      </c>
    </row>
    <row r="19" spans="1:29" ht="20.100000000000001" customHeight="1">
      <c r="A19" s="216"/>
      <c r="B19" s="217"/>
      <c r="C19" s="332"/>
      <c r="D19" s="333"/>
      <c r="E19" s="332"/>
      <c r="F19" s="333"/>
      <c r="G19" s="332"/>
      <c r="H19" s="333"/>
      <c r="I19" s="407" t="str">
        <f t="shared" si="2"/>
        <v/>
      </c>
      <c r="J19" s="408"/>
      <c r="K19" s="332"/>
      <c r="L19" s="333"/>
      <c r="M19" s="405" t="str">
        <f t="shared" si="0"/>
        <v/>
      </c>
      <c r="N19" s="406"/>
      <c r="O19" s="405" t="str">
        <f>IF(C19="","",IF(共通条件・結果!$Z$6="８地域","-",IF($C19="　","",IF(OR($C19="外気床",$C19="その他床"),0,IF(OR($C19="屋根",$C19="天井"),I19*K19*0.034)))))</f>
        <v/>
      </c>
      <c r="P19" s="406"/>
      <c r="Q19" s="401" t="str">
        <f t="shared" si="1"/>
        <v/>
      </c>
      <c r="R19" s="402"/>
      <c r="AC19" s="72">
        <f t="shared" si="3"/>
        <v>1</v>
      </c>
    </row>
    <row r="20" spans="1:29" ht="20.100000000000001" customHeight="1">
      <c r="A20" s="216"/>
      <c r="B20" s="217"/>
      <c r="C20" s="332"/>
      <c r="D20" s="333"/>
      <c r="E20" s="332"/>
      <c r="F20" s="333"/>
      <c r="G20" s="332"/>
      <c r="H20" s="333"/>
      <c r="I20" s="407" t="str">
        <f t="shared" si="2"/>
        <v/>
      </c>
      <c r="J20" s="408"/>
      <c r="K20" s="332"/>
      <c r="L20" s="333"/>
      <c r="M20" s="405" t="str">
        <f t="shared" si="0"/>
        <v/>
      </c>
      <c r="N20" s="406"/>
      <c r="O20" s="405" t="str">
        <f>IF(C20="","",IF(共通条件・結果!$Z$6="８地域","-",IF($C20="　","",IF(OR($C20="外気床",$C20="その他床"),0,IF(OR($C20="屋根",$C20="天井"),I20*K20*0.034)))))</f>
        <v/>
      </c>
      <c r="P20" s="406"/>
      <c r="Q20" s="401" t="str">
        <f t="shared" si="1"/>
        <v/>
      </c>
      <c r="R20" s="402"/>
      <c r="AC20" s="72">
        <f t="shared" si="3"/>
        <v>1</v>
      </c>
    </row>
    <row r="21" spans="1:29" ht="20.100000000000001" customHeight="1">
      <c r="A21" s="216"/>
      <c r="B21" s="217"/>
      <c r="C21" s="332"/>
      <c r="D21" s="333"/>
      <c r="E21" s="332"/>
      <c r="F21" s="333"/>
      <c r="G21" s="332"/>
      <c r="H21" s="333"/>
      <c r="I21" s="407" t="str">
        <f t="shared" si="2"/>
        <v/>
      </c>
      <c r="J21" s="408"/>
      <c r="K21" s="332"/>
      <c r="L21" s="333"/>
      <c r="M21" s="405" t="str">
        <f t="shared" si="0"/>
        <v/>
      </c>
      <c r="N21" s="406"/>
      <c r="O21" s="405" t="str">
        <f>IF(C21="","",IF(共通条件・結果!$Z$6="８地域","-",IF($C21="　","",IF(OR($C21="外気床",$C21="その他床"),0,IF(OR($C21="屋根",$C21="天井"),I21*K21*0.034)))))</f>
        <v/>
      </c>
      <c r="P21" s="406"/>
      <c r="Q21" s="401" t="str">
        <f t="shared" si="1"/>
        <v/>
      </c>
      <c r="R21" s="402"/>
      <c r="AC21" s="72">
        <f t="shared" si="3"/>
        <v>1</v>
      </c>
    </row>
    <row r="22" spans="1:29" ht="20.100000000000001" customHeight="1">
      <c r="A22" s="216"/>
      <c r="B22" s="217"/>
      <c r="C22" s="332"/>
      <c r="D22" s="333"/>
      <c r="E22" s="332"/>
      <c r="F22" s="333"/>
      <c r="G22" s="332"/>
      <c r="H22" s="333"/>
      <c r="I22" s="407" t="str">
        <f t="shared" si="2"/>
        <v/>
      </c>
      <c r="J22" s="408"/>
      <c r="K22" s="332"/>
      <c r="L22" s="333"/>
      <c r="M22" s="403" t="str">
        <f t="shared" si="0"/>
        <v/>
      </c>
      <c r="N22" s="404"/>
      <c r="O22" s="405" t="str">
        <f>IF(C22="","",IF(共通条件・結果!$Z$6="８地域","-",IF($C22="　","",IF(OR($C22="外気床",$C22="その他床"),0,IF(OR($C22="屋根",$C22="天井"),I22*K22*0.034)))))</f>
        <v/>
      </c>
      <c r="P22" s="406"/>
      <c r="Q22" s="401" t="str">
        <f t="shared" si="1"/>
        <v/>
      </c>
      <c r="R22" s="402"/>
      <c r="AC22" s="72">
        <f t="shared" si="3"/>
        <v>1</v>
      </c>
    </row>
    <row r="23" spans="1:29" ht="20.100000000000001" customHeight="1" thickBot="1">
      <c r="A23" s="214"/>
      <c r="B23" s="215"/>
      <c r="C23" s="397"/>
      <c r="D23" s="398"/>
      <c r="E23" s="345"/>
      <c r="F23" s="346"/>
      <c r="G23" s="345"/>
      <c r="H23" s="346"/>
      <c r="I23" s="399" t="str">
        <f t="shared" si="2"/>
        <v/>
      </c>
      <c r="J23" s="400"/>
      <c r="K23" s="397"/>
      <c r="L23" s="398"/>
      <c r="M23" s="389" t="str">
        <f t="shared" si="0"/>
        <v/>
      </c>
      <c r="N23" s="390"/>
      <c r="O23" s="389" t="str">
        <f>IF(C23="","",IF(共通条件・結果!$Z$6="８地域","-",IF($C23="　","",IF(OR($C23="外気床",$C23="その他床"),0,IF(OR($C23="屋根",$C23="天井"),I23*K23*0.034)))))</f>
        <v/>
      </c>
      <c r="P23" s="390"/>
      <c r="Q23" s="391" t="str">
        <f t="shared" si="1"/>
        <v/>
      </c>
      <c r="R23" s="392"/>
      <c r="AC23" s="72">
        <f t="shared" si="3"/>
        <v>1</v>
      </c>
    </row>
    <row r="24" spans="1:29" ht="20.100000000000001" customHeight="1" thickBot="1">
      <c r="A24" s="302" t="s">
        <v>168</v>
      </c>
      <c r="B24" s="303"/>
      <c r="C24" s="303"/>
      <c r="D24" s="303"/>
      <c r="E24" s="303"/>
      <c r="F24" s="303"/>
      <c r="G24" s="303"/>
      <c r="H24" s="303"/>
      <c r="I24" s="303"/>
      <c r="J24" s="303"/>
      <c r="K24" s="303"/>
      <c r="L24" s="355"/>
      <c r="M24" s="393">
        <f>SUM(M16:N23)</f>
        <v>0</v>
      </c>
      <c r="N24" s="394"/>
      <c r="O24" s="393">
        <f>SUM(O16:P23)</f>
        <v>0</v>
      </c>
      <c r="P24" s="394"/>
      <c r="Q24" s="395">
        <f>SUM(Q16:R23)</f>
        <v>0</v>
      </c>
      <c r="R24" s="396"/>
    </row>
    <row r="25" spans="1:29" ht="20.100000000000001" customHeight="1">
      <c r="A25" s="2"/>
      <c r="B25" s="2"/>
      <c r="C25" s="2"/>
      <c r="D25" s="2"/>
      <c r="E25" s="2"/>
      <c r="F25" s="2"/>
      <c r="G25" s="2"/>
      <c r="H25" s="2"/>
      <c r="I25" s="2"/>
      <c r="J25" s="2"/>
      <c r="K25" s="2"/>
      <c r="L25" s="2"/>
      <c r="M25" s="2"/>
      <c r="N25" s="2"/>
      <c r="O25" s="2"/>
      <c r="P25" s="2"/>
    </row>
    <row r="26" spans="1:29" ht="20.100000000000001" customHeight="1">
      <c r="A26" s="2"/>
      <c r="B26" s="2"/>
      <c r="C26" s="2"/>
      <c r="D26" s="2"/>
      <c r="E26" s="2"/>
      <c r="F26" s="2"/>
      <c r="G26" s="2"/>
      <c r="H26" s="2"/>
      <c r="I26" s="2"/>
      <c r="J26" s="2"/>
      <c r="K26" s="2"/>
      <c r="L26" s="2"/>
      <c r="M26" s="2"/>
      <c r="N26" s="2"/>
      <c r="O26" s="2"/>
      <c r="P26" s="2"/>
    </row>
    <row r="27" spans="1:29" ht="20.100000000000001" customHeight="1">
      <c r="A27" s="115"/>
      <c r="B27" s="6"/>
      <c r="C27" s="6"/>
      <c r="D27" s="6"/>
      <c r="E27" s="6"/>
      <c r="F27" s="6"/>
      <c r="G27" s="6"/>
      <c r="H27" s="6"/>
      <c r="I27" s="6"/>
      <c r="J27" s="6"/>
      <c r="K27" s="6"/>
      <c r="L27" s="6"/>
      <c r="M27" s="6"/>
      <c r="N27" s="6"/>
      <c r="O27" s="6"/>
      <c r="P27" s="6"/>
      <c r="Q27" s="6"/>
      <c r="R27" s="6"/>
      <c r="S27" s="2"/>
      <c r="T27" s="2"/>
      <c r="U27" s="2"/>
      <c r="V27" s="2"/>
      <c r="W27" s="2"/>
      <c r="X27" s="2"/>
      <c r="Y27" s="2"/>
      <c r="Z27" s="2"/>
      <c r="AA27" s="2"/>
      <c r="AB27" s="2"/>
    </row>
    <row r="28" spans="1:29" ht="20.100000000000001" customHeight="1" thickBot="1">
      <c r="A28" s="4" t="s">
        <v>194</v>
      </c>
      <c r="B28" s="2"/>
      <c r="C28" s="2"/>
      <c r="D28" s="2"/>
      <c r="E28" s="2"/>
      <c r="F28" s="2"/>
      <c r="G28" s="2"/>
      <c r="H28" s="2"/>
      <c r="I28" s="2"/>
      <c r="J28" s="2"/>
      <c r="K28" s="2"/>
      <c r="L28" s="2"/>
      <c r="M28" s="2"/>
      <c r="N28" s="2"/>
      <c r="O28" s="2"/>
      <c r="P28" s="2"/>
      <c r="Q28" s="2"/>
      <c r="R28" s="8"/>
      <c r="S28" s="8"/>
      <c r="T28" s="8"/>
      <c r="U28" s="8"/>
      <c r="V28" s="8"/>
      <c r="W28" s="8"/>
      <c r="X28" s="8"/>
      <c r="Y28" s="2"/>
      <c r="Z28" s="2"/>
      <c r="AA28" s="2"/>
      <c r="AB28" s="2"/>
    </row>
    <row r="29" spans="1:29" ht="20.100000000000001" customHeight="1">
      <c r="A29" s="381" t="s">
        <v>70</v>
      </c>
      <c r="B29" s="382"/>
      <c r="C29" s="173" t="s">
        <v>65</v>
      </c>
      <c r="D29" s="174"/>
      <c r="E29" s="174"/>
      <c r="F29" s="174"/>
      <c r="G29" s="174"/>
      <c r="H29" s="174"/>
      <c r="I29" s="175"/>
      <c r="J29" s="10"/>
      <c r="K29" s="116"/>
      <c r="L29" s="116"/>
      <c r="M29" s="10"/>
      <c r="N29" s="11"/>
      <c r="O29" s="387">
        <f>S29+X29</f>
        <v>0</v>
      </c>
      <c r="P29" s="387"/>
      <c r="Q29" s="10" t="s">
        <v>195</v>
      </c>
      <c r="R29" s="11" t="s">
        <v>71</v>
      </c>
      <c r="S29" s="387">
        <f>C6*E6+C7*E7+C8*E8+C9*E9+C10*E10</f>
        <v>0</v>
      </c>
      <c r="T29" s="387"/>
      <c r="U29" s="117" t="s">
        <v>196</v>
      </c>
      <c r="V29" s="202" t="s">
        <v>197</v>
      </c>
      <c r="W29" s="202"/>
      <c r="X29" s="387">
        <f>SUM(I16:J23)</f>
        <v>0</v>
      </c>
      <c r="Y29" s="387"/>
      <c r="Z29" s="118" t="s">
        <v>198</v>
      </c>
      <c r="AA29" s="6"/>
      <c r="AB29" s="6"/>
    </row>
    <row r="30" spans="1:29" ht="20.100000000000001" customHeight="1">
      <c r="A30" s="383"/>
      <c r="B30" s="384"/>
      <c r="C30" s="166" t="s">
        <v>92</v>
      </c>
      <c r="D30" s="167"/>
      <c r="E30" s="167"/>
      <c r="F30" s="167"/>
      <c r="G30" s="167"/>
      <c r="H30" s="167"/>
      <c r="I30" s="168"/>
      <c r="J30" s="9"/>
      <c r="K30" s="9"/>
      <c r="L30" s="9"/>
      <c r="M30" s="9"/>
      <c r="N30" s="9"/>
      <c r="O30" s="9"/>
      <c r="P30" s="9"/>
      <c r="Q30" s="9"/>
      <c r="R30" s="9"/>
      <c r="S30" s="9"/>
      <c r="T30" s="9"/>
      <c r="U30" s="9"/>
      <c r="V30" s="388">
        <f>M11+M24</f>
        <v>0</v>
      </c>
      <c r="W30" s="388"/>
      <c r="X30" s="388"/>
      <c r="Y30" s="119"/>
      <c r="Z30" s="120"/>
      <c r="AA30" s="6"/>
      <c r="AB30" s="6"/>
    </row>
    <row r="31" spans="1:29" ht="20.100000000000001" customHeight="1">
      <c r="A31" s="383"/>
      <c r="B31" s="384"/>
      <c r="C31" s="166" t="s">
        <v>93</v>
      </c>
      <c r="D31" s="167"/>
      <c r="E31" s="167"/>
      <c r="F31" s="167"/>
      <c r="G31" s="167"/>
      <c r="H31" s="167"/>
      <c r="I31" s="168"/>
      <c r="J31" s="9"/>
      <c r="K31" s="9"/>
      <c r="L31" s="9"/>
      <c r="M31" s="9"/>
      <c r="N31" s="9"/>
      <c r="O31" s="9"/>
      <c r="P31" s="9"/>
      <c r="Q31" s="9"/>
      <c r="R31" s="9"/>
      <c r="S31" s="9"/>
      <c r="T31" s="9"/>
      <c r="U31" s="9"/>
      <c r="V31" s="388">
        <f>O11+O24</f>
        <v>0</v>
      </c>
      <c r="W31" s="388"/>
      <c r="X31" s="388"/>
      <c r="Y31" s="119"/>
      <c r="Z31" s="120"/>
      <c r="AA31" s="6"/>
      <c r="AB31" s="6"/>
    </row>
    <row r="32" spans="1:29" ht="20.100000000000001" customHeight="1" thickBot="1">
      <c r="A32" s="385"/>
      <c r="B32" s="386"/>
      <c r="C32" s="153" t="s">
        <v>20</v>
      </c>
      <c r="D32" s="154"/>
      <c r="E32" s="154"/>
      <c r="F32" s="154"/>
      <c r="G32" s="154"/>
      <c r="H32" s="154"/>
      <c r="I32" s="155"/>
      <c r="J32" s="8"/>
      <c r="K32" s="8"/>
      <c r="L32" s="8"/>
      <c r="M32" s="8"/>
      <c r="N32" s="8"/>
      <c r="O32" s="8"/>
      <c r="P32" s="8"/>
      <c r="Q32" s="8"/>
      <c r="R32" s="8"/>
      <c r="S32" s="8"/>
      <c r="T32" s="8"/>
      <c r="U32" s="8"/>
      <c r="V32" s="380">
        <f>Q11+Q24</f>
        <v>0</v>
      </c>
      <c r="W32" s="380"/>
      <c r="X32" s="380"/>
      <c r="Y32" s="121" t="s">
        <v>199</v>
      </c>
      <c r="Z32" s="122"/>
      <c r="AA32" s="6"/>
      <c r="AB32" s="6"/>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sheetData>
  <sheetProtection sheet="1" objects="1" scenarios="1"/>
  <mergeCells count="157">
    <mergeCell ref="A1:Z1"/>
    <mergeCell ref="A4:B5"/>
    <mergeCell ref="C4:F4"/>
    <mergeCell ref="G4:H5"/>
    <mergeCell ref="I4:J5"/>
    <mergeCell ref="K4:L5"/>
    <mergeCell ref="M4:N5"/>
    <mergeCell ref="O4:P5"/>
    <mergeCell ref="Q4:R5"/>
    <mergeCell ref="C5:D5"/>
    <mergeCell ref="E5:F5"/>
    <mergeCell ref="A6:B6"/>
    <mergeCell ref="C6:D6"/>
    <mergeCell ref="E6:F6"/>
    <mergeCell ref="G6:H6"/>
    <mergeCell ref="I6:J6"/>
    <mergeCell ref="K6:L6"/>
    <mergeCell ref="M6:N6"/>
    <mergeCell ref="O6:P6"/>
    <mergeCell ref="Q6:R6"/>
    <mergeCell ref="A7:B7"/>
    <mergeCell ref="C7:D7"/>
    <mergeCell ref="E7:F7"/>
    <mergeCell ref="G7:H7"/>
    <mergeCell ref="I7:J7"/>
    <mergeCell ref="K7:L7"/>
    <mergeCell ref="M7:N7"/>
    <mergeCell ref="O7:P7"/>
    <mergeCell ref="Q7:R7"/>
    <mergeCell ref="A8:B8"/>
    <mergeCell ref="C8:D8"/>
    <mergeCell ref="E8:F8"/>
    <mergeCell ref="G8:H8"/>
    <mergeCell ref="I8:J8"/>
    <mergeCell ref="K8:L8"/>
    <mergeCell ref="M8:N8"/>
    <mergeCell ref="O8:P8"/>
    <mergeCell ref="Q8:R8"/>
    <mergeCell ref="A9:B9"/>
    <mergeCell ref="C9:D9"/>
    <mergeCell ref="E9:F9"/>
    <mergeCell ref="G9:H9"/>
    <mergeCell ref="I9:J9"/>
    <mergeCell ref="K9:L9"/>
    <mergeCell ref="M9:N9"/>
    <mergeCell ref="O9:P9"/>
    <mergeCell ref="Q9:R9"/>
    <mergeCell ref="A10:B10"/>
    <mergeCell ref="C10:D10"/>
    <mergeCell ref="E10:F10"/>
    <mergeCell ref="G10:H10"/>
    <mergeCell ref="I10:J10"/>
    <mergeCell ref="K10:L10"/>
    <mergeCell ref="M10:N10"/>
    <mergeCell ref="O10:P10"/>
    <mergeCell ref="Q10:R10"/>
    <mergeCell ref="A11:L11"/>
    <mergeCell ref="M11:N11"/>
    <mergeCell ref="O11:P11"/>
    <mergeCell ref="Q11:R11"/>
    <mergeCell ref="A14:B15"/>
    <mergeCell ref="C14:D15"/>
    <mergeCell ref="E14:F15"/>
    <mergeCell ref="G14:H15"/>
    <mergeCell ref="I14:J15"/>
    <mergeCell ref="K14:L15"/>
    <mergeCell ref="M14:N15"/>
    <mergeCell ref="O14:P15"/>
    <mergeCell ref="Q14:R15"/>
    <mergeCell ref="A16:B16"/>
    <mergeCell ref="C16:D16"/>
    <mergeCell ref="E16:F16"/>
    <mergeCell ref="G16:H16"/>
    <mergeCell ref="I16:J16"/>
    <mergeCell ref="K16:L16"/>
    <mergeCell ref="M16:N16"/>
    <mergeCell ref="O16:P16"/>
    <mergeCell ref="Q16:R16"/>
    <mergeCell ref="A17:B17"/>
    <mergeCell ref="C17:D17"/>
    <mergeCell ref="E17:F17"/>
    <mergeCell ref="G17:H17"/>
    <mergeCell ref="I17:J17"/>
    <mergeCell ref="K17:L17"/>
    <mergeCell ref="M17:N17"/>
    <mergeCell ref="O17:P17"/>
    <mergeCell ref="Q17:R17"/>
    <mergeCell ref="A18:B18"/>
    <mergeCell ref="C18:D18"/>
    <mergeCell ref="E18:F18"/>
    <mergeCell ref="G18:H18"/>
    <mergeCell ref="I18:J18"/>
    <mergeCell ref="K18:L18"/>
    <mergeCell ref="M18:N18"/>
    <mergeCell ref="O18:P18"/>
    <mergeCell ref="Q18:R18"/>
    <mergeCell ref="A19:B19"/>
    <mergeCell ref="C19:D19"/>
    <mergeCell ref="E19:F19"/>
    <mergeCell ref="G19:H19"/>
    <mergeCell ref="I19:J19"/>
    <mergeCell ref="K19:L19"/>
    <mergeCell ref="M19:N19"/>
    <mergeCell ref="O19:P19"/>
    <mergeCell ref="Q19:R19"/>
    <mergeCell ref="A20:B20"/>
    <mergeCell ref="C20:D20"/>
    <mergeCell ref="E20:F20"/>
    <mergeCell ref="G20:H20"/>
    <mergeCell ref="I20:J20"/>
    <mergeCell ref="K20:L20"/>
    <mergeCell ref="M20:N20"/>
    <mergeCell ref="O20:P20"/>
    <mergeCell ref="Q20:R20"/>
    <mergeCell ref="Q21:R21"/>
    <mergeCell ref="M22:N22"/>
    <mergeCell ref="O22:P22"/>
    <mergeCell ref="Q22:R22"/>
    <mergeCell ref="A21:B21"/>
    <mergeCell ref="C21:D21"/>
    <mergeCell ref="E21:F21"/>
    <mergeCell ref="G21:H21"/>
    <mergeCell ref="I21:J21"/>
    <mergeCell ref="K21:L21"/>
    <mergeCell ref="M21:N21"/>
    <mergeCell ref="O21:P21"/>
    <mergeCell ref="A22:B22"/>
    <mergeCell ref="C22:D22"/>
    <mergeCell ref="E22:F22"/>
    <mergeCell ref="G22:H22"/>
    <mergeCell ref="I22:J22"/>
    <mergeCell ref="K22:L22"/>
    <mergeCell ref="M23:N23"/>
    <mergeCell ref="O23:P23"/>
    <mergeCell ref="Q23:R23"/>
    <mergeCell ref="A24:L24"/>
    <mergeCell ref="M24:N24"/>
    <mergeCell ref="O24:P24"/>
    <mergeCell ref="Q24:R24"/>
    <mergeCell ref="A23:B23"/>
    <mergeCell ref="C23:D23"/>
    <mergeCell ref="E23:F23"/>
    <mergeCell ref="G23:H23"/>
    <mergeCell ref="I23:J23"/>
    <mergeCell ref="K23:L23"/>
    <mergeCell ref="C32:I32"/>
    <mergeCell ref="V32:X32"/>
    <mergeCell ref="A29:B32"/>
    <mergeCell ref="C29:I29"/>
    <mergeCell ref="O29:P29"/>
    <mergeCell ref="S29:T29"/>
    <mergeCell ref="V29:W29"/>
    <mergeCell ref="X29:Y29"/>
    <mergeCell ref="C30:I30"/>
    <mergeCell ref="V30:X30"/>
    <mergeCell ref="C31:I31"/>
    <mergeCell ref="V31:X31"/>
  </mergeCells>
  <phoneticPr fontId="2"/>
  <conditionalFormatting sqref="M11:N11">
    <cfRule type="expression" dxfId="13" priority="12" stopIfTrue="1">
      <formula>$M$11=0</formula>
    </cfRule>
  </conditionalFormatting>
  <conditionalFormatting sqref="M24:N24">
    <cfRule type="expression" dxfId="12" priority="11" stopIfTrue="1">
      <formula>$M$24=0</formula>
    </cfRule>
  </conditionalFormatting>
  <conditionalFormatting sqref="O24:P24">
    <cfRule type="expression" dxfId="11" priority="10" stopIfTrue="1">
      <formula>$O$24=0</formula>
    </cfRule>
  </conditionalFormatting>
  <conditionalFormatting sqref="Q24:R24">
    <cfRule type="expression" dxfId="10" priority="9" stopIfTrue="1">
      <formula>$Q$24=0</formula>
    </cfRule>
  </conditionalFormatting>
  <conditionalFormatting sqref="O11:P11">
    <cfRule type="expression" dxfId="9" priority="8" stopIfTrue="1">
      <formula>$O$11=0</formula>
    </cfRule>
  </conditionalFormatting>
  <conditionalFormatting sqref="Q11:R11">
    <cfRule type="expression" dxfId="8" priority="7" stopIfTrue="1">
      <formula>$Q$11=0</formula>
    </cfRule>
  </conditionalFormatting>
  <conditionalFormatting sqref="V30:X30">
    <cfRule type="expression" dxfId="7" priority="6" stopIfTrue="1">
      <formula>$V$30=0</formula>
    </cfRule>
  </conditionalFormatting>
  <conditionalFormatting sqref="V31:X31">
    <cfRule type="expression" dxfId="6" priority="5" stopIfTrue="1">
      <formula>$V$31=0</formula>
    </cfRule>
  </conditionalFormatting>
  <conditionalFormatting sqref="V32:X32">
    <cfRule type="expression" dxfId="5" priority="4" stopIfTrue="1">
      <formula>$V$32=0</formula>
    </cfRule>
  </conditionalFormatting>
  <conditionalFormatting sqref="O29:P29">
    <cfRule type="expression" dxfId="4" priority="3" stopIfTrue="1">
      <formula>$O$29=0</formula>
    </cfRule>
  </conditionalFormatting>
  <conditionalFormatting sqref="S29:T29">
    <cfRule type="expression" dxfId="3" priority="2" stopIfTrue="1">
      <formula>$S$29=0</formula>
    </cfRule>
  </conditionalFormatting>
  <conditionalFormatting sqref="X29:Y29">
    <cfRule type="expression" dxfId="2" priority="1" stopIfTrue="1">
      <formula>$X$29=0</formula>
    </cfRule>
  </conditionalFormatting>
  <dataValidations count="2">
    <dataValidation type="list" allowBlank="1" showInputMessage="1" showErrorMessage="1" sqref="K6:L10">
      <formula1>"　,雨戸,ｼｬｯﾀｰ,障子"</formula1>
    </dataValidation>
    <dataValidation type="list" allowBlank="1" showInputMessage="1" showErrorMessage="1" sqref="C16:D23">
      <formula1>"屋根,天井,外気床,その他床"</formula1>
    </dataValidation>
  </dataValidations>
  <pageMargins left="0.59055118110236227" right="0.39370078740157483" top="0.98425196850393704" bottom="0.78740157480314965" header="0.31496062992125984" footer="0.39370078740157483"/>
  <pageSetup paperSize="9" scale="90" orientation="portrait" horizontalDpi="300" verticalDpi="300" r:id="rId1"/>
  <headerFooter>
    <oddHeader>&amp;Rver. 1.3 (excel2007)[H28]</oddHeader>
    <oddFooter>&amp;Cⓒ　2013 hyoukakyoukai.All right reserved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8"/>
  <sheetViews>
    <sheetView zoomScaleNormal="100" zoomScaleSheetLayoutView="100" workbookViewId="0">
      <selection sqref="A1:AB1"/>
    </sheetView>
  </sheetViews>
  <sheetFormatPr defaultRowHeight="13.5"/>
  <cols>
    <col min="1" max="2" width="4.125" customWidth="1"/>
    <col min="3" max="28" width="3.625" customWidth="1"/>
    <col min="29" max="29" width="3.75" customWidth="1"/>
    <col min="30" max="30" width="10.375" hidden="1" customWidth="1"/>
    <col min="31" max="31" width="3.375" hidden="1" customWidth="1"/>
    <col min="32" max="32" width="14.375" hidden="1" customWidth="1"/>
    <col min="33" max="33" width="6" hidden="1" customWidth="1"/>
    <col min="34" max="34" width="13.875" hidden="1" customWidth="1"/>
    <col min="35" max="36" width="8.25" hidden="1" customWidth="1"/>
    <col min="37" max="52" width="3.625" customWidth="1"/>
  </cols>
  <sheetData>
    <row r="1" spans="1:36" ht="30" customHeight="1">
      <c r="A1" s="447" t="s">
        <v>61</v>
      </c>
      <c r="B1" s="447"/>
      <c r="C1" s="447"/>
      <c r="D1" s="447"/>
      <c r="E1" s="447"/>
      <c r="F1" s="447"/>
      <c r="G1" s="447"/>
      <c r="H1" s="447"/>
      <c r="I1" s="447"/>
      <c r="J1" s="447"/>
      <c r="K1" s="447"/>
      <c r="L1" s="447"/>
      <c r="M1" s="447"/>
      <c r="N1" s="447"/>
      <c r="O1" s="447"/>
      <c r="P1" s="447"/>
      <c r="Q1" s="447"/>
      <c r="R1" s="447"/>
      <c r="S1" s="447"/>
      <c r="T1" s="447"/>
      <c r="U1" s="447"/>
      <c r="V1" s="447"/>
      <c r="W1" s="447"/>
      <c r="X1" s="447"/>
      <c r="Y1" s="447"/>
      <c r="Z1" s="447"/>
      <c r="AA1" s="447"/>
      <c r="AB1" s="447"/>
    </row>
    <row r="2" spans="1:36" s="3" customFormat="1" ht="20.100000000000001" customHeight="1"/>
    <row r="3" spans="1:36" s="3" customFormat="1" ht="20.100000000000001" customHeight="1" thickBot="1">
      <c r="A3" s="4" t="s">
        <v>190</v>
      </c>
      <c r="B3" s="2"/>
      <c r="C3" s="2"/>
      <c r="D3" s="2"/>
      <c r="E3" s="2"/>
      <c r="F3" s="2"/>
      <c r="G3" s="2"/>
      <c r="H3" s="2"/>
    </row>
    <row r="4" spans="1:36" s="3" customFormat="1" ht="20.100000000000001" customHeight="1">
      <c r="A4" s="422" t="s">
        <v>38</v>
      </c>
      <c r="B4" s="423"/>
      <c r="C4" s="427" t="s">
        <v>39</v>
      </c>
      <c r="D4" s="427"/>
      <c r="E4" s="427"/>
      <c r="F4" s="133"/>
      <c r="G4" s="432" t="s">
        <v>69</v>
      </c>
      <c r="H4" s="513"/>
    </row>
    <row r="5" spans="1:36" s="3" customFormat="1" ht="20.100000000000001" customHeight="1" thickBot="1">
      <c r="A5" s="424"/>
      <c r="B5" s="425"/>
      <c r="C5" s="428"/>
      <c r="D5" s="428"/>
      <c r="E5" s="428"/>
      <c r="F5" s="485"/>
      <c r="G5" s="433"/>
      <c r="H5" s="514"/>
    </row>
    <row r="6" spans="1:36" s="3" customFormat="1" ht="20.100000000000001" customHeight="1">
      <c r="A6" s="515"/>
      <c r="B6" s="516"/>
      <c r="C6" s="506"/>
      <c r="D6" s="506"/>
      <c r="E6" s="506"/>
      <c r="F6" s="506"/>
      <c r="G6" s="517"/>
      <c r="H6" s="518"/>
    </row>
    <row r="7" spans="1:36" s="3" customFormat="1" ht="20.100000000000001" customHeight="1">
      <c r="A7" s="504"/>
      <c r="B7" s="505"/>
      <c r="C7" s="506"/>
      <c r="D7" s="506"/>
      <c r="E7" s="506"/>
      <c r="F7" s="506"/>
      <c r="G7" s="507"/>
      <c r="H7" s="508"/>
    </row>
    <row r="8" spans="1:36" s="3" customFormat="1" ht="20.100000000000001" customHeight="1">
      <c r="A8" s="504"/>
      <c r="B8" s="505"/>
      <c r="C8" s="506"/>
      <c r="D8" s="506"/>
      <c r="E8" s="506"/>
      <c r="F8" s="506"/>
      <c r="G8" s="507"/>
      <c r="H8" s="508"/>
    </row>
    <row r="9" spans="1:36" s="3" customFormat="1" ht="20.100000000000001" customHeight="1">
      <c r="A9" s="504"/>
      <c r="B9" s="505"/>
      <c r="C9" s="506"/>
      <c r="D9" s="506"/>
      <c r="E9" s="506"/>
      <c r="F9" s="506"/>
      <c r="G9" s="507"/>
      <c r="H9" s="508"/>
    </row>
    <row r="10" spans="1:36" s="3" customFormat="1" ht="20.100000000000001" customHeight="1" thickBot="1">
      <c r="A10" s="509"/>
      <c r="B10" s="510"/>
      <c r="C10" s="510"/>
      <c r="D10" s="510"/>
      <c r="E10" s="510"/>
      <c r="F10" s="510"/>
      <c r="G10" s="511"/>
      <c r="H10" s="512"/>
    </row>
    <row r="11" spans="1:36" s="3" customFormat="1" ht="20.100000000000001" customHeight="1" thickBot="1">
      <c r="A11" s="502" t="s">
        <v>83</v>
      </c>
      <c r="B11" s="503"/>
      <c r="C11" s="503"/>
      <c r="D11" s="503"/>
      <c r="E11" s="503"/>
      <c r="F11" s="503"/>
      <c r="G11" s="395">
        <f>SUM(G6:H10)</f>
        <v>0</v>
      </c>
      <c r="H11" s="396"/>
    </row>
    <row r="12" spans="1:36" s="3" customFormat="1" ht="20.100000000000001" customHeight="1">
      <c r="A12" s="2" t="s">
        <v>191</v>
      </c>
      <c r="B12" s="113"/>
      <c r="C12" s="113"/>
      <c r="D12" s="113"/>
      <c r="E12" s="113"/>
      <c r="F12" s="113"/>
      <c r="G12" s="114"/>
      <c r="H12" s="114"/>
    </row>
    <row r="13" spans="1:36" s="3" customFormat="1" ht="20.100000000000001" customHeight="1">
      <c r="A13" s="2" t="s">
        <v>117</v>
      </c>
      <c r="B13" s="113"/>
      <c r="C13" s="113"/>
      <c r="D13" s="113"/>
      <c r="E13" s="113"/>
      <c r="F13" s="113"/>
      <c r="G13" s="114"/>
      <c r="H13" s="114"/>
    </row>
    <row r="14" spans="1:36" s="3" customFormat="1" ht="20.100000000000001" customHeight="1">
      <c r="A14" s="113"/>
      <c r="B14" s="113"/>
      <c r="C14" s="113"/>
      <c r="D14" s="113"/>
      <c r="E14" s="113"/>
      <c r="F14" s="113"/>
      <c r="G14" s="114"/>
      <c r="H14" s="114"/>
    </row>
    <row r="15" spans="1:36" s="3" customFormat="1" ht="20.100000000000001" customHeight="1" thickBot="1">
      <c r="A15" s="4" t="s">
        <v>192</v>
      </c>
    </row>
    <row r="16" spans="1:36" s="3" customFormat="1" ht="20.100000000000001" customHeight="1">
      <c r="A16" s="448" t="s">
        <v>38</v>
      </c>
      <c r="B16" s="427"/>
      <c r="C16" s="427" t="s">
        <v>39</v>
      </c>
      <c r="D16" s="427"/>
      <c r="E16" s="427"/>
      <c r="F16" s="427"/>
      <c r="G16" s="482" t="s">
        <v>40</v>
      </c>
      <c r="H16" s="483"/>
      <c r="I16" s="482" t="s">
        <v>41</v>
      </c>
      <c r="J16" s="483"/>
      <c r="K16" s="482" t="s">
        <v>42</v>
      </c>
      <c r="L16" s="483"/>
      <c r="M16" s="482" t="s">
        <v>43</v>
      </c>
      <c r="N16" s="483"/>
      <c r="O16" s="482" t="s">
        <v>44</v>
      </c>
      <c r="P16" s="482"/>
      <c r="Q16" s="482" t="s">
        <v>45</v>
      </c>
      <c r="R16" s="482"/>
      <c r="S16" s="482" t="s">
        <v>46</v>
      </c>
      <c r="T16" s="483"/>
      <c r="U16" s="482" t="s">
        <v>47</v>
      </c>
      <c r="V16" s="483"/>
      <c r="W16" s="482" t="s">
        <v>48</v>
      </c>
      <c r="X16" s="483"/>
      <c r="Y16" s="482" t="s">
        <v>49</v>
      </c>
      <c r="Z16" s="483"/>
      <c r="AA16" s="427" t="s">
        <v>7</v>
      </c>
      <c r="AB16" s="438"/>
      <c r="AF16" s="496" t="s">
        <v>7</v>
      </c>
      <c r="AG16" s="496"/>
      <c r="AH16" s="496"/>
      <c r="AI16" s="496"/>
      <c r="AJ16" s="496"/>
    </row>
    <row r="17" spans="1:36" s="3" customFormat="1" ht="20.100000000000001" customHeight="1" thickBot="1">
      <c r="A17" s="449"/>
      <c r="B17" s="428"/>
      <c r="C17" s="428"/>
      <c r="D17" s="428"/>
      <c r="E17" s="428"/>
      <c r="F17" s="428"/>
      <c r="G17" s="484"/>
      <c r="H17" s="484"/>
      <c r="I17" s="484"/>
      <c r="J17" s="484"/>
      <c r="K17" s="484"/>
      <c r="L17" s="484"/>
      <c r="M17" s="484"/>
      <c r="N17" s="484"/>
      <c r="O17" s="495"/>
      <c r="P17" s="495"/>
      <c r="Q17" s="495"/>
      <c r="R17" s="495"/>
      <c r="S17" s="484"/>
      <c r="T17" s="484"/>
      <c r="U17" s="484"/>
      <c r="V17" s="484"/>
      <c r="W17" s="484"/>
      <c r="X17" s="484"/>
      <c r="Y17" s="484"/>
      <c r="Z17" s="484"/>
      <c r="AA17" s="428"/>
      <c r="AB17" s="439"/>
      <c r="AD17" s="54" t="s">
        <v>100</v>
      </c>
      <c r="AF17" s="55" t="s">
        <v>227</v>
      </c>
      <c r="AG17" s="54" t="s">
        <v>101</v>
      </c>
      <c r="AH17" s="55" t="s">
        <v>228</v>
      </c>
      <c r="AI17" s="55" t="s">
        <v>229</v>
      </c>
      <c r="AJ17" s="55" t="s">
        <v>230</v>
      </c>
    </row>
    <row r="18" spans="1:36" s="2" customFormat="1" ht="20.100000000000001" customHeight="1">
      <c r="A18" s="497" t="str">
        <f>IF(A6="","",A6)</f>
        <v/>
      </c>
      <c r="B18" s="498"/>
      <c r="C18" s="499" t="str">
        <f>IF(C6="","",C6)</f>
        <v/>
      </c>
      <c r="D18" s="499"/>
      <c r="E18" s="499"/>
      <c r="F18" s="499"/>
      <c r="G18" s="282"/>
      <c r="H18" s="282"/>
      <c r="I18" s="282"/>
      <c r="J18" s="282"/>
      <c r="K18" s="282"/>
      <c r="L18" s="282"/>
      <c r="M18" s="282"/>
      <c r="N18" s="282"/>
      <c r="O18" s="282"/>
      <c r="P18" s="282"/>
      <c r="Q18" s="282"/>
      <c r="R18" s="282"/>
      <c r="S18" s="282"/>
      <c r="T18" s="282"/>
      <c r="U18" s="282"/>
      <c r="V18" s="282"/>
      <c r="W18" s="282"/>
      <c r="X18" s="282"/>
      <c r="Y18" s="500" t="str">
        <f>IF(Q18="","",IF(-1&lt;=Q18,"(13)",IF(G18+M18&gt;=3,"(15)１","(15)２")))</f>
        <v/>
      </c>
      <c r="Z18" s="500"/>
      <c r="AA18" s="445" t="str">
        <f>IF(Q18="","",IF(IF(Y18="(13)",AF18,AH18)&lt;0.05,"0.05",IF(Y18="(13)",AF18,AH18)))</f>
        <v/>
      </c>
      <c r="AB18" s="501"/>
      <c r="AD18" s="2">
        <f>IF(O18&gt;0.4,"0.4",O18)</f>
        <v>0</v>
      </c>
      <c r="AF18" s="2">
        <f>1.8-1.36*(G18*(AD18+S18)+M18*(AD18-Q18))^0.15-0.01*(6.14-G18)*((I18+0.5*K18)*AG18)^0.5</f>
        <v>1.8</v>
      </c>
      <c r="AG18" s="2">
        <f>IF(MAX(U18,W18)&lt;=0.9,MAX(U18,W18),"0.9")</f>
        <v>0</v>
      </c>
      <c r="AH18" s="2">
        <f>IF((G18+M18)&gt;=3,AI18,AJ18)</f>
        <v>1.8</v>
      </c>
      <c r="AI18" s="2">
        <f>1.8-1.47*(G18+M18)^0.08</f>
        <v>1.8</v>
      </c>
      <c r="AJ18" s="2">
        <f>1.8-1.36*(G18+M18)^0.15</f>
        <v>1.8</v>
      </c>
    </row>
    <row r="19" spans="1:36" s="2" customFormat="1" ht="20.100000000000001" customHeight="1">
      <c r="A19" s="486" t="str">
        <f>IF(A7="","",A7)</f>
        <v/>
      </c>
      <c r="B19" s="487"/>
      <c r="C19" s="488" t="str">
        <f>IF(C7="","",C7)</f>
        <v/>
      </c>
      <c r="D19" s="488"/>
      <c r="E19" s="488"/>
      <c r="F19" s="488"/>
      <c r="G19" s="212"/>
      <c r="H19" s="212"/>
      <c r="I19" s="212"/>
      <c r="J19" s="212"/>
      <c r="K19" s="212"/>
      <c r="L19" s="212"/>
      <c r="M19" s="212"/>
      <c r="N19" s="212"/>
      <c r="O19" s="212"/>
      <c r="P19" s="212"/>
      <c r="Q19" s="212"/>
      <c r="R19" s="212"/>
      <c r="S19" s="212"/>
      <c r="T19" s="212"/>
      <c r="U19" s="212"/>
      <c r="V19" s="212"/>
      <c r="W19" s="212"/>
      <c r="X19" s="212"/>
      <c r="Y19" s="490" t="str">
        <f>IF(Q19="","",IF(-1&lt;=Q19,"(13)",IF(G19+M19&gt;=3,"(15)１","(15)２")))</f>
        <v/>
      </c>
      <c r="Z19" s="490"/>
      <c r="AA19" s="401" t="str">
        <f>IF(Q19="","",IF(IF(Y19="(13)",AF19,AH19)&lt;0.05,"0.05",IF(Y19="(13)",AF19,AH19)))</f>
        <v/>
      </c>
      <c r="AB19" s="402"/>
      <c r="AD19" s="2">
        <f>IF(O19&gt;0.4,"0.4",O19)</f>
        <v>0</v>
      </c>
      <c r="AF19" s="2">
        <f>1.8-1.36*(G19*(AD19+S19)+M19*(AD19-Q19))^0.15-0.01*(6.14-G19)*((I19+0.5*K19)*AG19)^0.5</f>
        <v>1.8</v>
      </c>
      <c r="AG19" s="2">
        <f>IF(MAX(U19,W19)&lt;=0.9,MAX(U19,W19),"0.9")</f>
        <v>0</v>
      </c>
      <c r="AH19" s="2">
        <f>IF((G19+M19)&gt;=3,AI19,AJ19)</f>
        <v>1.8</v>
      </c>
      <c r="AI19" s="2">
        <f>1.8-1.47*(G19+M19)^0.08</f>
        <v>1.8</v>
      </c>
      <c r="AJ19" s="2">
        <f>1.8-1.36*(G19+M19)^0.15</f>
        <v>1.8</v>
      </c>
    </row>
    <row r="20" spans="1:36" s="2" customFormat="1" ht="20.100000000000001" customHeight="1">
      <c r="A20" s="486" t="str">
        <f>IF(A8="","",A8)</f>
        <v/>
      </c>
      <c r="B20" s="487"/>
      <c r="C20" s="488" t="str">
        <f>IF(C8="","",C8)</f>
        <v/>
      </c>
      <c r="D20" s="488"/>
      <c r="E20" s="488"/>
      <c r="F20" s="488"/>
      <c r="G20" s="212"/>
      <c r="H20" s="212"/>
      <c r="I20" s="212"/>
      <c r="J20" s="212"/>
      <c r="K20" s="212"/>
      <c r="L20" s="212"/>
      <c r="M20" s="212"/>
      <c r="N20" s="212"/>
      <c r="O20" s="212"/>
      <c r="P20" s="212"/>
      <c r="Q20" s="212"/>
      <c r="R20" s="212"/>
      <c r="S20" s="212"/>
      <c r="T20" s="212"/>
      <c r="U20" s="212"/>
      <c r="V20" s="212"/>
      <c r="W20" s="212"/>
      <c r="X20" s="212"/>
      <c r="Y20" s="490" t="str">
        <f>IF(Q20="","",IF(-1&lt;=Q20,"(13)",IF(G20+M20&gt;=3,"(15)１","(15)２")))</f>
        <v/>
      </c>
      <c r="Z20" s="490"/>
      <c r="AA20" s="401" t="str">
        <f>IF(Q20="","",IF(IF(Y20="(13)",AF20,AH20)&lt;0.05,"0.05",IF(Y20="(13)",AF20,AH20)))</f>
        <v/>
      </c>
      <c r="AB20" s="402"/>
      <c r="AD20" s="2">
        <f>IF(O20&gt;0.4,"0.4",O20)</f>
        <v>0</v>
      </c>
      <c r="AF20" s="2">
        <f>1.8-1.36*(G20*(AD20+S20)+M20*(AD20-Q20))^0.15-0.01*(6.14-G20)*((I20+0.5*K20)*AG20)^0.5</f>
        <v>1.8</v>
      </c>
      <c r="AG20" s="2">
        <f>IF(MAX(U20,W20)&lt;=0.9,MAX(U20,W20),"0.9")</f>
        <v>0</v>
      </c>
      <c r="AH20" s="2">
        <f>IF((G20+M20)&gt;=3,AI20,AJ20)</f>
        <v>1.8</v>
      </c>
      <c r="AI20" s="2">
        <f>1.8-1.47*(G20+M20)^0.08</f>
        <v>1.8</v>
      </c>
      <c r="AJ20" s="2">
        <f>1.8-1.36*(G20+M20)^0.15</f>
        <v>1.8</v>
      </c>
    </row>
    <row r="21" spans="1:36" s="2" customFormat="1" ht="20.100000000000001" customHeight="1">
      <c r="A21" s="486" t="str">
        <f>IF(A9="","",A9)</f>
        <v/>
      </c>
      <c r="B21" s="487"/>
      <c r="C21" s="488" t="str">
        <f>IF(C9="","",C9)</f>
        <v/>
      </c>
      <c r="D21" s="488"/>
      <c r="E21" s="488"/>
      <c r="F21" s="488"/>
      <c r="G21" s="212"/>
      <c r="H21" s="212"/>
      <c r="I21" s="212"/>
      <c r="J21" s="212"/>
      <c r="K21" s="212"/>
      <c r="L21" s="212"/>
      <c r="M21" s="212"/>
      <c r="N21" s="212"/>
      <c r="O21" s="212"/>
      <c r="P21" s="212"/>
      <c r="Q21" s="212"/>
      <c r="R21" s="212"/>
      <c r="S21" s="212"/>
      <c r="T21" s="212"/>
      <c r="U21" s="212"/>
      <c r="V21" s="212"/>
      <c r="W21" s="212"/>
      <c r="X21" s="212"/>
      <c r="Y21" s="490" t="str">
        <f>IF(Q21="","",IF(-1&lt;=Q21,"(13)",IF(G21+M21&gt;=3,"(15)１","(15)２")))</f>
        <v/>
      </c>
      <c r="Z21" s="490"/>
      <c r="AA21" s="401" t="str">
        <f>IF(Q21="","",IF(IF(Y21="(13)",AF21,AH21)&lt;0.05,"0.05",IF(Y21="(13)",AF21,AH21)))</f>
        <v/>
      </c>
      <c r="AB21" s="402"/>
      <c r="AD21" s="2">
        <f>IF(O21&gt;0.4,"0.4",O21)</f>
        <v>0</v>
      </c>
      <c r="AF21" s="2">
        <f>1.8-1.36*(G21*(AD21+S21)+M21*(AD21-Q21))^0.15-0.01*(6.14-G21)*((I21+0.5*K21)*AG21)^0.5</f>
        <v>1.8</v>
      </c>
      <c r="AG21" s="2">
        <f>IF(MAX(U21,W21)&lt;=0.9,MAX(U21,W21),"0.9")</f>
        <v>0</v>
      </c>
      <c r="AH21" s="2">
        <f>IF((G21+M21)&gt;=3,AI21,AJ21)</f>
        <v>1.8</v>
      </c>
      <c r="AI21" s="2">
        <f>1.8-1.47*(G21+M21)^0.08</f>
        <v>1.8</v>
      </c>
      <c r="AJ21" s="2">
        <f>1.8-1.36*(G21+M21)^0.15</f>
        <v>1.8</v>
      </c>
    </row>
    <row r="22" spans="1:36" s="2" customFormat="1" ht="20.100000000000001" customHeight="1" thickBot="1">
      <c r="A22" s="491" t="str">
        <f>IF(A10="","",A10)</f>
        <v/>
      </c>
      <c r="B22" s="492"/>
      <c r="C22" s="493" t="str">
        <f>IF(C10="","",C10)</f>
        <v/>
      </c>
      <c r="D22" s="493"/>
      <c r="E22" s="493"/>
      <c r="F22" s="493"/>
      <c r="G22" s="294"/>
      <c r="H22" s="294"/>
      <c r="I22" s="294"/>
      <c r="J22" s="294"/>
      <c r="K22" s="294"/>
      <c r="L22" s="294"/>
      <c r="M22" s="294"/>
      <c r="N22" s="294"/>
      <c r="O22" s="294"/>
      <c r="P22" s="294"/>
      <c r="Q22" s="294"/>
      <c r="R22" s="294"/>
      <c r="S22" s="294"/>
      <c r="T22" s="294"/>
      <c r="U22" s="294"/>
      <c r="V22" s="294"/>
      <c r="W22" s="294"/>
      <c r="X22" s="294"/>
      <c r="Y22" s="489" t="str">
        <f>IF(Q22="","",IF(-1&lt;=Q22,"(13)",IF(G22+M22&gt;=3,"(15)１","(15)２")))</f>
        <v/>
      </c>
      <c r="Z22" s="489"/>
      <c r="AA22" s="442" t="str">
        <f>IF(Q22="","",IF(IF(Y22="(13)",AF22,AH22)&lt;0.05,"0.05",IF(Y22="(13)",AF22,AH22)))</f>
        <v/>
      </c>
      <c r="AB22" s="494"/>
      <c r="AD22" s="2">
        <f>IF(O22&gt;0.4,"0.4",O22)</f>
        <v>0</v>
      </c>
      <c r="AF22" s="2">
        <f>1.8-1.36*(G22*(AD22+S22)+M22*(AD22-Q22))^0.15-0.01*(6.14-G22)*((I22+0.5*K22)*AG22)^0.5</f>
        <v>1.8</v>
      </c>
      <c r="AG22" s="2">
        <f>IF(MAX(U22,W22)&lt;=0.9,MAX(U22,W22),"0.9")</f>
        <v>0</v>
      </c>
      <c r="AH22" s="2">
        <f>IF((G22+M22)&gt;=3,AI22,AJ22)</f>
        <v>1.8</v>
      </c>
      <c r="AI22" s="2">
        <f>1.8-1.47*(G22+M22)^0.08</f>
        <v>1.8</v>
      </c>
      <c r="AJ22" s="2">
        <f>1.8-1.36*(G22+M22)^0.15</f>
        <v>1.8</v>
      </c>
    </row>
    <row r="23" spans="1:36" s="2" customFormat="1" ht="20.100000000000001" customHeight="1">
      <c r="A23" s="2" t="s">
        <v>50</v>
      </c>
    </row>
    <row r="24" spans="1:36" s="2" customFormat="1" ht="20.100000000000001" customHeight="1">
      <c r="A24" s="2" t="s">
        <v>51</v>
      </c>
    </row>
    <row r="25" spans="1:36" s="2" customFormat="1" ht="20.100000000000001" customHeight="1"/>
    <row r="26" spans="1:36" s="2" customFormat="1" ht="20.100000000000001" customHeight="1" thickBot="1">
      <c r="A26" s="4" t="s">
        <v>193</v>
      </c>
    </row>
    <row r="27" spans="1:36" s="2" customFormat="1" ht="20.100000000000001" customHeight="1">
      <c r="A27" s="448" t="s">
        <v>38</v>
      </c>
      <c r="B27" s="427"/>
      <c r="C27" s="427" t="s">
        <v>39</v>
      </c>
      <c r="D27" s="427"/>
      <c r="E27" s="427"/>
      <c r="F27" s="427"/>
      <c r="G27" s="482" t="s">
        <v>52</v>
      </c>
      <c r="H27" s="483"/>
      <c r="I27" s="426" t="s">
        <v>53</v>
      </c>
      <c r="J27" s="133"/>
      <c r="K27" s="427" t="s">
        <v>13</v>
      </c>
      <c r="L27" s="438"/>
    </row>
    <row r="28" spans="1:36" s="2" customFormat="1" ht="20.100000000000001" customHeight="1" thickBot="1">
      <c r="A28" s="449"/>
      <c r="B28" s="428"/>
      <c r="C28" s="428"/>
      <c r="D28" s="428"/>
      <c r="E28" s="428"/>
      <c r="F28" s="428"/>
      <c r="G28" s="484"/>
      <c r="H28" s="484"/>
      <c r="I28" s="428"/>
      <c r="J28" s="485"/>
      <c r="K28" s="428"/>
      <c r="L28" s="439"/>
    </row>
    <row r="29" spans="1:36" s="2" customFormat="1" ht="20.100000000000001" customHeight="1">
      <c r="A29" s="474" t="str">
        <f>IF(A6="","",A6)</f>
        <v/>
      </c>
      <c r="B29" s="475"/>
      <c r="C29" s="476" t="str">
        <f>IF(C6="","",C6)</f>
        <v/>
      </c>
      <c r="D29" s="477"/>
      <c r="E29" s="477"/>
      <c r="F29" s="475"/>
      <c r="G29" s="478"/>
      <c r="H29" s="479"/>
      <c r="I29" s="480"/>
      <c r="J29" s="480"/>
      <c r="K29" s="413" t="str">
        <f>IF(G29="","",AA18*G29*I29)</f>
        <v/>
      </c>
      <c r="L29" s="481"/>
    </row>
    <row r="30" spans="1:36" s="2" customFormat="1" ht="20.100000000000001" customHeight="1">
      <c r="A30" s="472" t="str">
        <f>IF(A7="","",A7)</f>
        <v/>
      </c>
      <c r="B30" s="473"/>
      <c r="C30" s="458" t="str">
        <f>IF(C7="","",C7)</f>
        <v/>
      </c>
      <c r="D30" s="459"/>
      <c r="E30" s="459"/>
      <c r="F30" s="457"/>
      <c r="G30" s="209"/>
      <c r="H30" s="211"/>
      <c r="I30" s="460"/>
      <c r="J30" s="460"/>
      <c r="K30" s="405" t="str">
        <f>IF(G30="","",AA19*G30*I30)</f>
        <v/>
      </c>
      <c r="L30" s="461"/>
    </row>
    <row r="31" spans="1:36" s="2" customFormat="1" ht="20.100000000000001" customHeight="1">
      <c r="A31" s="456" t="str">
        <f>IF(A8="","",A8)</f>
        <v/>
      </c>
      <c r="B31" s="457"/>
      <c r="C31" s="458" t="str">
        <f>IF(C8="","",C8)</f>
        <v/>
      </c>
      <c r="D31" s="459"/>
      <c r="E31" s="459"/>
      <c r="F31" s="457"/>
      <c r="G31" s="209"/>
      <c r="H31" s="211"/>
      <c r="I31" s="460"/>
      <c r="J31" s="460"/>
      <c r="K31" s="405" t="str">
        <f>IF(G31="","",AA20*G31*I31)</f>
        <v/>
      </c>
      <c r="L31" s="461"/>
    </row>
    <row r="32" spans="1:36" s="2" customFormat="1" ht="20.100000000000001" customHeight="1">
      <c r="A32" s="456" t="str">
        <f>IF(A9="","",A9)</f>
        <v/>
      </c>
      <c r="B32" s="457"/>
      <c r="C32" s="458" t="str">
        <f>IF(C9="","",C9)</f>
        <v/>
      </c>
      <c r="D32" s="459"/>
      <c r="E32" s="459"/>
      <c r="F32" s="457"/>
      <c r="G32" s="209"/>
      <c r="H32" s="211"/>
      <c r="I32" s="460"/>
      <c r="J32" s="460"/>
      <c r="K32" s="405" t="str">
        <f>IF(G32="","",AA21*G32*I32)</f>
        <v/>
      </c>
      <c r="L32" s="461"/>
    </row>
    <row r="33" spans="1:24" s="2" customFormat="1" ht="20.100000000000001" customHeight="1" thickBot="1">
      <c r="A33" s="462" t="str">
        <f>IF(A10="","",A10)</f>
        <v/>
      </c>
      <c r="B33" s="463"/>
      <c r="C33" s="464" t="str">
        <f>IF(C10="","",C10)</f>
        <v/>
      </c>
      <c r="D33" s="465"/>
      <c r="E33" s="465"/>
      <c r="F33" s="463"/>
      <c r="G33" s="466"/>
      <c r="H33" s="467"/>
      <c r="I33" s="468"/>
      <c r="J33" s="469"/>
      <c r="K33" s="470" t="str">
        <f>IF(G33="","",AA22*G33*I33)</f>
        <v/>
      </c>
      <c r="L33" s="471"/>
    </row>
    <row r="34" spans="1:24" s="2" customFormat="1" ht="20.100000000000001" customHeight="1" thickBot="1">
      <c r="A34" s="453" t="s">
        <v>111</v>
      </c>
      <c r="B34" s="454"/>
      <c r="C34" s="454"/>
      <c r="D34" s="454"/>
      <c r="E34" s="454"/>
      <c r="F34" s="454"/>
      <c r="G34" s="454"/>
      <c r="H34" s="454"/>
      <c r="I34" s="454"/>
      <c r="J34" s="454"/>
      <c r="K34" s="393">
        <f>SUM(K29:L33)</f>
        <v>0</v>
      </c>
      <c r="L34" s="455"/>
    </row>
    <row r="35" spans="1:24" s="2" customFormat="1" ht="20.100000000000001" customHeight="1"/>
    <row r="36" spans="1:24" s="2" customFormat="1" ht="20.100000000000001" customHeight="1"/>
    <row r="37" spans="1:24" s="3" customFormat="1" ht="20.100000000000001" customHeight="1"/>
    <row r="38" spans="1:24" s="3" customFormat="1" ht="20.100000000000001" customHeight="1">
      <c r="X38" s="2"/>
    </row>
    <row r="39" spans="1:24" s="3" customFormat="1" ht="20.100000000000001" customHeight="1">
      <c r="X39" s="2"/>
    </row>
    <row r="40" spans="1:24" s="3" customFormat="1" ht="20.100000000000001" customHeight="1"/>
    <row r="41" spans="1:24" s="3" customFormat="1" ht="20.100000000000001" customHeight="1"/>
    <row r="42" spans="1:24" s="3" customFormat="1" ht="20.100000000000001" customHeight="1"/>
    <row r="43" spans="1:24" s="3" customFormat="1" ht="20.100000000000001" customHeight="1"/>
    <row r="44" spans="1:24" s="3" customFormat="1" ht="20.100000000000001" customHeight="1"/>
    <row r="45" spans="1:24" s="3" customFormat="1" ht="20.100000000000001" customHeight="1"/>
    <row r="46" spans="1:24" s="3" customFormat="1" ht="20.100000000000001" customHeight="1"/>
    <row r="47" spans="1:24" s="3" customFormat="1" ht="20.100000000000001" customHeight="1"/>
    <row r="48" spans="1:24" s="3" customFormat="1" ht="20.100000000000001" customHeight="1"/>
    <row r="49" s="3" customFormat="1" ht="20.100000000000001" customHeight="1"/>
    <row r="50" s="3" customFormat="1" ht="20.100000000000001" customHeight="1"/>
    <row r="51" s="3" customFormat="1" ht="20.100000000000001" customHeight="1"/>
    <row r="52" s="3" customFormat="1" ht="20.100000000000001" customHeight="1"/>
    <row r="53" s="3" customFormat="1" ht="20.100000000000001" customHeight="1"/>
    <row r="54" s="3" customFormat="1" ht="20.100000000000001" customHeight="1"/>
    <row r="55" s="3" customFormat="1" ht="20.100000000000001" customHeight="1"/>
    <row r="56" s="3" customFormat="1" ht="20.100000000000001" customHeight="1"/>
    <row r="57" s="3" customFormat="1" ht="20.100000000000001" customHeight="1"/>
    <row r="58" s="3" customFormat="1" ht="20.100000000000001" customHeight="1"/>
    <row r="59" s="3" customFormat="1" ht="20.100000000000001" customHeight="1"/>
    <row r="60" s="3" customFormat="1" ht="20.100000000000001" customHeight="1"/>
    <row r="61" s="3" customFormat="1" ht="20.100000000000001" customHeight="1"/>
    <row r="62" s="3" customFormat="1" ht="20.100000000000001" customHeight="1"/>
    <row r="63" s="3" customFormat="1" ht="20.100000000000001" customHeight="1"/>
    <row r="64" s="3" customFormat="1" ht="20.100000000000001" customHeight="1"/>
    <row r="65" s="3" customFormat="1" ht="20.100000000000001" customHeight="1"/>
    <row r="66" s="3" customFormat="1" ht="20.100000000000001" customHeight="1"/>
    <row r="67" s="3" customFormat="1" ht="20.100000000000001" customHeight="1"/>
    <row r="68" s="3" customFormat="1" ht="20.100000000000001" customHeight="1"/>
    <row r="69" s="3" customFormat="1" ht="20.100000000000001" customHeight="1"/>
    <row r="70" s="3" customFormat="1" ht="20.100000000000001" customHeight="1"/>
    <row r="71" s="3" customFormat="1" ht="20.100000000000001" customHeight="1"/>
    <row r="72" s="3" customFormat="1" ht="20.100000000000001" customHeight="1"/>
    <row r="73" s="3" customFormat="1" ht="20.100000000000001" customHeight="1"/>
    <row r="74" s="3" customFormat="1" ht="20.100000000000001" customHeight="1"/>
    <row r="75" s="3" customFormat="1" ht="20.100000000000001" customHeight="1"/>
    <row r="76" s="3" customFormat="1" ht="20.100000000000001" customHeight="1"/>
    <row r="77" s="3" customFormat="1" ht="20.100000000000001" customHeight="1"/>
    <row r="78" s="3" customFormat="1" ht="20.100000000000001" customHeight="1"/>
    <row r="79" s="3" customFormat="1" ht="20.100000000000001" customHeight="1"/>
    <row r="80" s="3" customFormat="1" ht="20.100000000000001" customHeight="1"/>
    <row r="81" s="3" customFormat="1" ht="20.100000000000001" customHeight="1"/>
    <row r="82" s="3" customFormat="1" ht="20.100000000000001" customHeight="1"/>
    <row r="83" s="3" customFormat="1" ht="20.100000000000001" customHeight="1"/>
    <row r="84" s="3" customFormat="1" ht="20.100000000000001" customHeight="1"/>
    <row r="85" s="3" customFormat="1" ht="20.100000000000001" customHeight="1"/>
    <row r="86" s="3" customFormat="1" ht="20.100000000000001" customHeight="1"/>
    <row r="87" s="3" customFormat="1" ht="20.100000000000001" customHeight="1"/>
    <row r="88" s="3" customFormat="1" ht="20.100000000000001" customHeight="1"/>
    <row r="89" s="3" customFormat="1" ht="20.100000000000001" customHeight="1"/>
    <row r="90" s="3" customFormat="1" ht="20.100000000000001" customHeight="1"/>
    <row r="91" s="3" customFormat="1" ht="20.100000000000001" customHeight="1"/>
    <row r="92" s="3" customFormat="1" ht="20.100000000000001" customHeight="1"/>
    <row r="93" s="3" customFormat="1" ht="20.100000000000001" customHeight="1"/>
    <row r="94" s="3" customFormat="1" ht="20.100000000000001" customHeight="1"/>
    <row r="95" s="3" customFormat="1" ht="20.100000000000001" customHeight="1"/>
    <row r="96" s="3" customFormat="1" ht="20.100000000000001" customHeight="1"/>
    <row r="97" s="3" customFormat="1" ht="20.100000000000001" customHeight="1"/>
    <row r="98" s="3" customFormat="1" ht="20.100000000000001" customHeight="1"/>
    <row r="99" s="3" customFormat="1" ht="20.100000000000001" customHeight="1"/>
    <row r="100" s="3" customFormat="1" ht="20.100000000000001" customHeight="1"/>
    <row r="101" s="3" customFormat="1" ht="20.100000000000001" customHeight="1"/>
    <row r="102" s="3" customFormat="1" ht="20.100000000000001" customHeight="1"/>
    <row r="103" s="3" customFormat="1" ht="20.100000000000001" customHeight="1"/>
    <row r="104" s="3" customFormat="1" ht="20.100000000000001" customHeight="1"/>
    <row r="105" s="3" customFormat="1" ht="20.100000000000001" customHeight="1"/>
    <row r="106" s="3" customFormat="1" ht="20.100000000000001" customHeight="1"/>
    <row r="107" s="3" customFormat="1" ht="20.100000000000001" customHeight="1"/>
    <row r="108" s="3" customFormat="1" ht="20.100000000000001" customHeight="1"/>
    <row r="109" s="3" customFormat="1" ht="20.100000000000001" customHeight="1"/>
    <row r="110" s="3" customFormat="1" ht="20.100000000000001" customHeight="1"/>
    <row r="111" s="3" customFormat="1" ht="20.100000000000001" customHeight="1"/>
    <row r="112" s="3" customFormat="1" ht="20.100000000000001" customHeight="1"/>
    <row r="113" s="3" customFormat="1" ht="20.100000000000001" customHeight="1"/>
    <row r="114" s="3" customFormat="1" ht="20.100000000000001" customHeight="1"/>
    <row r="115" s="3" customFormat="1" ht="20.100000000000001" customHeight="1"/>
    <row r="116" s="3" customFormat="1" ht="20.100000000000001" customHeight="1"/>
    <row r="117" s="3" customFormat="1" ht="20.100000000000001" customHeight="1"/>
    <row r="118" s="3" customFormat="1" ht="20.100000000000001" customHeight="1"/>
    <row r="119" s="3" customFormat="1" ht="20.100000000000001" customHeight="1"/>
    <row r="120" s="3" customFormat="1" ht="20.100000000000001" customHeight="1"/>
    <row r="121" s="3" customFormat="1" ht="20.100000000000001" customHeight="1"/>
    <row r="122" s="3" customFormat="1" ht="20.100000000000001" customHeight="1"/>
    <row r="123" s="3" customFormat="1" ht="20.100000000000001" customHeight="1"/>
    <row r="124" s="3" customFormat="1" ht="20.100000000000001" customHeight="1"/>
    <row r="125" s="3" customFormat="1" ht="20.100000000000001" customHeight="1"/>
    <row r="126" s="3" customFormat="1" ht="20.100000000000001" customHeight="1"/>
    <row r="127" s="3" customFormat="1" ht="20.100000000000001" customHeight="1"/>
    <row r="128" s="3" customFormat="1" ht="20.100000000000001" customHeight="1"/>
    <row r="129" s="3" customFormat="1" ht="20.100000000000001" customHeight="1"/>
    <row r="130" s="3" customFormat="1" ht="20.100000000000001" customHeight="1"/>
    <row r="131" s="3" customFormat="1" ht="20.100000000000001" customHeight="1"/>
    <row r="132" s="3" customFormat="1"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sheetData>
  <sheetProtection sheet="1" objects="1" scenarios="1"/>
  <mergeCells count="132">
    <mergeCell ref="A1:AB1"/>
    <mergeCell ref="A4:B5"/>
    <mergeCell ref="C4:F5"/>
    <mergeCell ref="G4:H5"/>
    <mergeCell ref="A6:B6"/>
    <mergeCell ref="C6:F6"/>
    <mergeCell ref="G6:H6"/>
    <mergeCell ref="A7:B7"/>
    <mergeCell ref="C7:F7"/>
    <mergeCell ref="G7:H7"/>
    <mergeCell ref="A8:B8"/>
    <mergeCell ref="C8:F8"/>
    <mergeCell ref="G8:H8"/>
    <mergeCell ref="A9:B9"/>
    <mergeCell ref="C9:F9"/>
    <mergeCell ref="G9:H9"/>
    <mergeCell ref="A10:B10"/>
    <mergeCell ref="C10:F10"/>
    <mergeCell ref="G10:H10"/>
    <mergeCell ref="A11:F11"/>
    <mergeCell ref="G11:H11"/>
    <mergeCell ref="A16:B17"/>
    <mergeCell ref="C16:F17"/>
    <mergeCell ref="G16:H17"/>
    <mergeCell ref="I16:J17"/>
    <mergeCell ref="K16:L17"/>
    <mergeCell ref="M16:N17"/>
    <mergeCell ref="O16:P17"/>
    <mergeCell ref="Q16:R17"/>
    <mergeCell ref="S16:T17"/>
    <mergeCell ref="U16:V17"/>
    <mergeCell ref="W16:X17"/>
    <mergeCell ref="Y16:Z17"/>
    <mergeCell ref="AA16:AB17"/>
    <mergeCell ref="AF16:AJ16"/>
    <mergeCell ref="A18:B18"/>
    <mergeCell ref="C18:F18"/>
    <mergeCell ref="G18:H18"/>
    <mergeCell ref="I18:J18"/>
    <mergeCell ref="K18:L18"/>
    <mergeCell ref="M18:N18"/>
    <mergeCell ref="O18:P18"/>
    <mergeCell ref="Q18:R18"/>
    <mergeCell ref="S18:T18"/>
    <mergeCell ref="U18:V18"/>
    <mergeCell ref="W18:X18"/>
    <mergeCell ref="Y18:Z18"/>
    <mergeCell ref="AA18:AB18"/>
    <mergeCell ref="A20:B20"/>
    <mergeCell ref="C20:F20"/>
    <mergeCell ref="G20:H20"/>
    <mergeCell ref="I20:J20"/>
    <mergeCell ref="K20:L20"/>
    <mergeCell ref="M20:N20"/>
    <mergeCell ref="W20:X20"/>
    <mergeCell ref="Y20:Z20"/>
    <mergeCell ref="U19:V19"/>
    <mergeCell ref="W19:X19"/>
    <mergeCell ref="Y19:Z19"/>
    <mergeCell ref="A19:B19"/>
    <mergeCell ref="C19:F19"/>
    <mergeCell ref="G19:H19"/>
    <mergeCell ref="I19:J19"/>
    <mergeCell ref="K19:L19"/>
    <mergeCell ref="M19:N19"/>
    <mergeCell ref="O19:P19"/>
    <mergeCell ref="Q19:R19"/>
    <mergeCell ref="S19:T19"/>
    <mergeCell ref="AA19:AB19"/>
    <mergeCell ref="Q21:R21"/>
    <mergeCell ref="S21:T21"/>
    <mergeCell ref="O20:P20"/>
    <mergeCell ref="Q20:R20"/>
    <mergeCell ref="S20:T20"/>
    <mergeCell ref="U20:V20"/>
    <mergeCell ref="K22:L22"/>
    <mergeCell ref="M22:N22"/>
    <mergeCell ref="AA20:AB20"/>
    <mergeCell ref="AA21:AB21"/>
    <mergeCell ref="AA22:AB22"/>
    <mergeCell ref="A21:B21"/>
    <mergeCell ref="C21:F21"/>
    <mergeCell ref="G21:H21"/>
    <mergeCell ref="I21:J21"/>
    <mergeCell ref="K21:L21"/>
    <mergeCell ref="M21:N21"/>
    <mergeCell ref="O21:P21"/>
    <mergeCell ref="W22:X22"/>
    <mergeCell ref="Y22:Z22"/>
    <mergeCell ref="U21:V21"/>
    <mergeCell ref="W21:X21"/>
    <mergeCell ref="Y21:Z21"/>
    <mergeCell ref="Q22:R22"/>
    <mergeCell ref="S22:T22"/>
    <mergeCell ref="U22:V22"/>
    <mergeCell ref="O22:P22"/>
    <mergeCell ref="A22:B22"/>
    <mergeCell ref="C22:F22"/>
    <mergeCell ref="G22:H22"/>
    <mergeCell ref="I22:J22"/>
    <mergeCell ref="A29:B29"/>
    <mergeCell ref="C29:F29"/>
    <mergeCell ref="G29:H29"/>
    <mergeCell ref="I29:J29"/>
    <mergeCell ref="K29:L29"/>
    <mergeCell ref="A27:B28"/>
    <mergeCell ref="C27:F28"/>
    <mergeCell ref="G27:H28"/>
    <mergeCell ref="I27:J28"/>
    <mergeCell ref="K27:L28"/>
    <mergeCell ref="A30:B30"/>
    <mergeCell ref="C30:F30"/>
    <mergeCell ref="G30:H30"/>
    <mergeCell ref="I30:J30"/>
    <mergeCell ref="K30:L30"/>
    <mergeCell ref="A31:B31"/>
    <mergeCell ref="C31:F31"/>
    <mergeCell ref="G31:H31"/>
    <mergeCell ref="I31:J31"/>
    <mergeCell ref="K31:L31"/>
    <mergeCell ref="A34:J34"/>
    <mergeCell ref="K34:L34"/>
    <mergeCell ref="A32:B32"/>
    <mergeCell ref="C32:F32"/>
    <mergeCell ref="G32:H32"/>
    <mergeCell ref="I32:J32"/>
    <mergeCell ref="K32:L32"/>
    <mergeCell ref="A33:B33"/>
    <mergeCell ref="C33:F33"/>
    <mergeCell ref="G33:H33"/>
    <mergeCell ref="I33:J33"/>
    <mergeCell ref="K33:L33"/>
  </mergeCells>
  <phoneticPr fontId="2"/>
  <conditionalFormatting sqref="K34:L34">
    <cfRule type="expression" dxfId="1" priority="2" stopIfTrue="1">
      <formula>$K$34=0</formula>
    </cfRule>
  </conditionalFormatting>
  <conditionalFormatting sqref="G11:H14">
    <cfRule type="expression" dxfId="0" priority="1" stopIfTrue="1">
      <formula>$G$11=0</formula>
    </cfRule>
  </conditionalFormatting>
  <dataValidations count="2">
    <dataValidation type="list" allowBlank="1" showInputMessage="1" showErrorMessage="1" sqref="C6:F10 C18:F22">
      <formula1>"基礎断熱,玄関土間,勝手口土間,その他"</formula1>
    </dataValidation>
    <dataValidation type="list" allowBlank="1" showInputMessage="1" showErrorMessage="1" sqref="I29:J33">
      <formula1>"　,1.0,0.7"</formula1>
    </dataValidation>
  </dataValidations>
  <pageMargins left="0.59055118110236227" right="0.39370078740157483" top="0.98425196850393704" bottom="0.78740157480314965" header="0.31496062992125984" footer="0.39370078740157483"/>
  <pageSetup paperSize="9" scale="90" orientation="portrait" horizontalDpi="300" verticalDpi="300" r:id="rId1"/>
  <headerFooter>
    <oddHeader>&amp;Rver. 1.3 (excel2007)[H28]</oddHeader>
    <oddFooter>&amp;Cⓒ　2013 hyoukakyoukai.All right reserved</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B30"/>
  <sheetViews>
    <sheetView zoomScaleNormal="100" workbookViewId="0">
      <selection activeCell="H4" sqref="H4"/>
    </sheetView>
  </sheetViews>
  <sheetFormatPr defaultRowHeight="15" customHeight="1"/>
  <cols>
    <col min="1" max="1" width="9" style="29"/>
    <col min="2" max="2" width="4.625" style="29" customWidth="1"/>
    <col min="3" max="3" width="16.625" style="29" customWidth="1"/>
    <col min="4" max="4" width="12.625" style="29" customWidth="1"/>
    <col min="5" max="7" width="10.625" style="29" customWidth="1"/>
    <col min="8" max="16384" width="9" style="29"/>
  </cols>
  <sheetData>
    <row r="1" spans="1:28" ht="30" customHeight="1">
      <c r="A1" s="447" t="s">
        <v>72</v>
      </c>
      <c r="B1" s="447"/>
      <c r="C1" s="447"/>
      <c r="D1" s="447"/>
      <c r="E1" s="447"/>
      <c r="F1" s="447"/>
      <c r="G1" s="447"/>
      <c r="H1" s="447"/>
      <c r="I1" s="34"/>
      <c r="J1" s="34"/>
      <c r="K1" s="34"/>
      <c r="L1" s="34"/>
      <c r="M1" s="34"/>
      <c r="N1" s="34"/>
      <c r="O1" s="34"/>
      <c r="P1" s="34"/>
      <c r="Q1" s="34"/>
      <c r="R1" s="34"/>
      <c r="S1" s="34"/>
      <c r="T1" s="34"/>
      <c r="U1" s="34"/>
      <c r="V1" s="34"/>
      <c r="W1" s="34"/>
      <c r="X1" s="34"/>
      <c r="Y1" s="34"/>
      <c r="Z1" s="34"/>
      <c r="AA1" s="34"/>
      <c r="AB1" s="34"/>
    </row>
    <row r="2" spans="1:28" ht="20.100000000000001" customHeight="1">
      <c r="A2" s="27"/>
      <c r="B2" s="27"/>
      <c r="C2" s="27"/>
      <c r="D2" s="27"/>
      <c r="E2" s="27"/>
      <c r="F2" s="27"/>
      <c r="G2" s="27"/>
      <c r="H2" s="28"/>
    </row>
    <row r="3" spans="1:28" ht="20.100000000000001" customHeight="1" thickBot="1">
      <c r="B3" s="4" t="s">
        <v>144</v>
      </c>
      <c r="C3" s="33"/>
    </row>
    <row r="4" spans="1:28" ht="20.100000000000001" customHeight="1" thickBot="1">
      <c r="B4" s="49" t="s">
        <v>79</v>
      </c>
      <c r="C4" s="58"/>
      <c r="D4" s="47" t="s">
        <v>82</v>
      </c>
      <c r="E4" s="47"/>
      <c r="F4" s="47"/>
      <c r="G4" s="48"/>
    </row>
    <row r="5" spans="1:28" ht="20.100000000000001" customHeight="1">
      <c r="B5" s="525" t="s">
        <v>0</v>
      </c>
      <c r="C5" s="526"/>
      <c r="D5" s="549" t="s">
        <v>57</v>
      </c>
      <c r="E5" s="549"/>
      <c r="F5" s="36" t="s">
        <v>58</v>
      </c>
      <c r="G5" s="37" t="s">
        <v>59</v>
      </c>
    </row>
    <row r="6" spans="1:28" ht="20.100000000000001" customHeight="1">
      <c r="B6" s="552"/>
      <c r="C6" s="553"/>
      <c r="D6" s="550" t="s">
        <v>60</v>
      </c>
      <c r="E6" s="551"/>
      <c r="F6" s="61"/>
      <c r="G6" s="62"/>
    </row>
    <row r="7" spans="1:28" ht="30" customHeight="1" thickBot="1">
      <c r="B7" s="531"/>
      <c r="C7" s="532"/>
      <c r="D7" s="99" t="s">
        <v>55</v>
      </c>
      <c r="E7" s="40" t="s">
        <v>56</v>
      </c>
      <c r="F7" s="533" t="s">
        <v>123</v>
      </c>
      <c r="G7" s="534"/>
    </row>
    <row r="8" spans="1:28" ht="20.100000000000001" customHeight="1">
      <c r="B8" s="535" t="s">
        <v>214</v>
      </c>
      <c r="C8" s="536"/>
      <c r="D8" s="41" t="s">
        <v>125</v>
      </c>
      <c r="E8" s="41" t="s">
        <v>125</v>
      </c>
      <c r="F8" s="63"/>
      <c r="G8" s="64"/>
    </row>
    <row r="9" spans="1:28" ht="20.100000000000001" customHeight="1">
      <c r="B9" s="523"/>
      <c r="C9" s="524"/>
      <c r="D9" s="59"/>
      <c r="E9" s="59"/>
      <c r="F9" s="103" t="str">
        <f>IF(D9=0,"",E9/D9)</f>
        <v/>
      </c>
      <c r="G9" s="104" t="str">
        <f>IF(D9=0,"",E9/D9)</f>
        <v/>
      </c>
    </row>
    <row r="10" spans="1:28" ht="20.100000000000001" customHeight="1">
      <c r="B10" s="523"/>
      <c r="C10" s="524"/>
      <c r="D10" s="59"/>
      <c r="E10" s="59"/>
      <c r="F10" s="103" t="str">
        <f>IF(D10=0,"",E10/D10)</f>
        <v/>
      </c>
      <c r="G10" s="104" t="str">
        <f>IF(D10=0,"",E10/D10)</f>
        <v/>
      </c>
    </row>
    <row r="11" spans="1:28" ht="20.100000000000001" customHeight="1">
      <c r="B11" s="523"/>
      <c r="C11" s="524"/>
      <c r="D11" s="59"/>
      <c r="E11" s="59"/>
      <c r="F11" s="103" t="str">
        <f>IF(D11=0,"",E11/D11)</f>
        <v/>
      </c>
      <c r="G11" s="104" t="str">
        <f>IF(D11=0,"",E11/D11)</f>
        <v/>
      </c>
    </row>
    <row r="12" spans="1:28" ht="20.100000000000001" customHeight="1">
      <c r="B12" s="523"/>
      <c r="C12" s="524"/>
      <c r="D12" s="59"/>
      <c r="E12" s="59"/>
      <c r="F12" s="103" t="str">
        <f>IF(D12=0,"",E12/D12)</f>
        <v/>
      </c>
      <c r="G12" s="104" t="str">
        <f>IF(D12=0,"",E12/D12)</f>
        <v/>
      </c>
    </row>
    <row r="13" spans="1:28" ht="20.100000000000001" customHeight="1">
      <c r="B13" s="539"/>
      <c r="C13" s="540"/>
      <c r="D13" s="59"/>
      <c r="E13" s="59"/>
      <c r="F13" s="103" t="str">
        <f>IF(D13=0,"",E13/D13)</f>
        <v/>
      </c>
      <c r="G13" s="104" t="str">
        <f>IF(D13=0,"",E13/D13)</f>
        <v/>
      </c>
    </row>
    <row r="14" spans="1:28" ht="20.100000000000001" customHeight="1">
      <c r="B14" s="541" t="s">
        <v>215</v>
      </c>
      <c r="C14" s="542"/>
      <c r="D14" s="42" t="s">
        <v>125</v>
      </c>
      <c r="E14" s="42" t="s">
        <v>125</v>
      </c>
      <c r="F14" s="65"/>
      <c r="G14" s="66"/>
    </row>
    <row r="15" spans="1:28" ht="20.100000000000001" customHeight="1">
      <c r="B15" s="543" t="s">
        <v>73</v>
      </c>
      <c r="C15" s="544"/>
      <c r="D15" s="544"/>
      <c r="E15" s="545"/>
      <c r="F15" s="38">
        <f>SUM(F8:F14)</f>
        <v>0</v>
      </c>
      <c r="G15" s="39">
        <f>SUM(G8:G14)</f>
        <v>0</v>
      </c>
    </row>
    <row r="16" spans="1:28" ht="20.100000000000001" customHeight="1">
      <c r="B16" s="543" t="s">
        <v>74</v>
      </c>
      <c r="C16" s="544"/>
      <c r="D16" s="544"/>
      <c r="E16" s="545"/>
      <c r="F16" s="106" t="str">
        <f>IF(F15=0,"0.000",1/F15)</f>
        <v>0.000</v>
      </c>
      <c r="G16" s="105" t="str">
        <f>IF(G15=0,"0.000",1/G15)</f>
        <v>0.000</v>
      </c>
    </row>
    <row r="17" spans="2:7" ht="20.100000000000001" customHeight="1" thickBot="1">
      <c r="B17" s="546" t="s">
        <v>75</v>
      </c>
      <c r="C17" s="547"/>
      <c r="D17" s="547"/>
      <c r="E17" s="548"/>
      <c r="F17" s="537" t="str">
        <f>IF(F15=0,"",(F6*F16)+(G6*G16))</f>
        <v/>
      </c>
      <c r="G17" s="538"/>
    </row>
    <row r="18" spans="2:7" ht="20.100000000000001" customHeight="1"/>
    <row r="19" spans="2:7" ht="20.100000000000001" customHeight="1">
      <c r="B19" s="103"/>
      <c r="C19" s="29" t="s">
        <v>126</v>
      </c>
    </row>
    <row r="20" spans="2:7" ht="31.5" customHeight="1"/>
    <row r="21" spans="2:7" ht="19.5" customHeight="1" thickBot="1">
      <c r="B21" s="4" t="s">
        <v>145</v>
      </c>
      <c r="C21" s="32"/>
      <c r="D21" s="31"/>
      <c r="E21" s="31"/>
      <c r="F21" s="31"/>
      <c r="G21" s="31"/>
    </row>
    <row r="22" spans="2:7" ht="19.5" customHeight="1" thickBot="1">
      <c r="B22" s="49" t="s">
        <v>79</v>
      </c>
      <c r="C22" s="58"/>
      <c r="D22" s="50" t="s">
        <v>78</v>
      </c>
      <c r="E22" s="47"/>
      <c r="F22" s="48"/>
      <c r="G22" s="30"/>
    </row>
    <row r="23" spans="2:7" ht="19.5" customHeight="1">
      <c r="B23" s="525" t="s">
        <v>0</v>
      </c>
      <c r="C23" s="526"/>
      <c r="D23" s="527" t="s">
        <v>55</v>
      </c>
      <c r="E23" s="529" t="s">
        <v>56</v>
      </c>
      <c r="F23" s="519" t="s">
        <v>123</v>
      </c>
      <c r="G23" s="30"/>
    </row>
    <row r="24" spans="2:7" ht="19.5" customHeight="1" thickBot="1">
      <c r="B24" s="521"/>
      <c r="C24" s="522"/>
      <c r="D24" s="528"/>
      <c r="E24" s="530"/>
      <c r="F24" s="520"/>
      <c r="G24" s="30"/>
    </row>
    <row r="25" spans="2:7" ht="19.5" customHeight="1">
      <c r="B25" s="523"/>
      <c r="C25" s="524"/>
      <c r="D25" s="59"/>
      <c r="E25" s="59"/>
      <c r="F25" s="51" t="str">
        <f>IF(D25=0,"",E25/D25)</f>
        <v/>
      </c>
      <c r="G25" s="30"/>
    </row>
    <row r="26" spans="2:7" ht="19.5" customHeight="1">
      <c r="B26" s="523"/>
      <c r="C26" s="524"/>
      <c r="D26" s="59"/>
      <c r="E26" s="59"/>
      <c r="F26" s="51" t="str">
        <f>IF(D26=0,"",E26/D26)</f>
        <v/>
      </c>
      <c r="G26" s="30"/>
    </row>
    <row r="27" spans="2:7" ht="19.5" customHeight="1">
      <c r="B27" s="523"/>
      <c r="C27" s="524"/>
      <c r="D27" s="59"/>
      <c r="E27" s="59"/>
      <c r="F27" s="51" t="str">
        <f>IF(D27=0,"",E27/D27)</f>
        <v/>
      </c>
      <c r="G27" s="30"/>
    </row>
    <row r="28" spans="2:7" ht="19.5" customHeight="1">
      <c r="B28" s="100" t="s">
        <v>77</v>
      </c>
      <c r="C28" s="101"/>
      <c r="D28" s="101" t="s">
        <v>81</v>
      </c>
      <c r="E28" s="102"/>
      <c r="F28" s="52">
        <f>SUM(F25:F27)</f>
        <v>0</v>
      </c>
      <c r="G28" s="30"/>
    </row>
    <row r="29" spans="2:7" ht="19.5" customHeight="1">
      <c r="B29" s="100" t="s">
        <v>7</v>
      </c>
      <c r="C29" s="101"/>
      <c r="D29" s="101" t="s">
        <v>124</v>
      </c>
      <c r="E29" s="102"/>
      <c r="F29" s="53">
        <f>IF(F28=0,0,1/F28)</f>
        <v>0</v>
      </c>
      <c r="G29" s="30"/>
    </row>
    <row r="30" spans="2:7" ht="19.5" customHeight="1" thickBot="1">
      <c r="B30" s="43" t="s">
        <v>76</v>
      </c>
      <c r="C30" s="44"/>
      <c r="D30" s="45" t="s">
        <v>80</v>
      </c>
      <c r="E30" s="60"/>
      <c r="F30" s="46">
        <f>IF(F28=0,0,F29+E30)</f>
        <v>0</v>
      </c>
    </row>
  </sheetData>
  <sheetProtection sheet="1" objects="1" scenarios="1"/>
  <mergeCells count="25">
    <mergeCell ref="B10:C10"/>
    <mergeCell ref="D5:E5"/>
    <mergeCell ref="D6:E6"/>
    <mergeCell ref="B11:C11"/>
    <mergeCell ref="B5:C6"/>
    <mergeCell ref="F17:G17"/>
    <mergeCell ref="B12:C12"/>
    <mergeCell ref="B13:C13"/>
    <mergeCell ref="B14:C14"/>
    <mergeCell ref="B15:E15"/>
    <mergeCell ref="B16:E16"/>
    <mergeCell ref="B17:E17"/>
    <mergeCell ref="A1:H1"/>
    <mergeCell ref="B7:C7"/>
    <mergeCell ref="F7:G7"/>
    <mergeCell ref="B8:C8"/>
    <mergeCell ref="B9:C9"/>
    <mergeCell ref="F23:F24"/>
    <mergeCell ref="B24:C24"/>
    <mergeCell ref="B25:C25"/>
    <mergeCell ref="B26:C26"/>
    <mergeCell ref="B27:C27"/>
    <mergeCell ref="B23:C23"/>
    <mergeCell ref="D23:D24"/>
    <mergeCell ref="E23:E24"/>
  </mergeCells>
  <phoneticPr fontId="2"/>
  <pageMargins left="0.59055118110236227" right="0.39370078740157483" top="0.98425196850393704" bottom="0.78740157480314965" header="0.31496062992125984" footer="0.39370078740157483"/>
  <pageSetup paperSize="9" scale="90" orientation="portrait" horizontalDpi="300" verticalDpi="300" r:id="rId1"/>
  <headerFooter>
    <oddHeader>&amp;Rver. 1.3 (excel2007)[H28]</oddHeader>
    <oddFooter>&amp;Cⓒ　2013 hyoukakyoukai.All right reserved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11"/>
  <sheetViews>
    <sheetView zoomScaleNormal="100" workbookViewId="0">
      <selection activeCell="A12" sqref="A12"/>
    </sheetView>
  </sheetViews>
  <sheetFormatPr defaultRowHeight="13.5"/>
  <cols>
    <col min="1" max="1" width="10.5" bestFit="1" customWidth="1"/>
  </cols>
  <sheetData>
    <row r="1" spans="1:1">
      <c r="A1" t="s">
        <v>128</v>
      </c>
    </row>
    <row r="2" spans="1:1">
      <c r="A2" s="131">
        <v>42570</v>
      </c>
    </row>
    <row r="3" spans="1:1">
      <c r="A3" t="s">
        <v>231</v>
      </c>
    </row>
    <row r="4" spans="1:1">
      <c r="A4" t="s">
        <v>129</v>
      </c>
    </row>
    <row r="5" spans="1:1">
      <c r="A5" t="s">
        <v>232</v>
      </c>
    </row>
    <row r="8" spans="1:1">
      <c r="A8" s="131">
        <v>42627</v>
      </c>
    </row>
    <row r="9" spans="1:1">
      <c r="A9" t="s">
        <v>233</v>
      </c>
    </row>
    <row r="10" spans="1:1">
      <c r="A10" t="s">
        <v>129</v>
      </c>
    </row>
    <row r="11" spans="1:1">
      <c r="A11" t="s">
        <v>234</v>
      </c>
    </row>
  </sheetData>
  <phoneticPr fontId="2"/>
  <pageMargins left="0.59055118110236227" right="0.39370078740157483" top="0.98425196850393704" bottom="0.78740157480314965" header="0.31496062992125984" footer="0.39370078740157483"/>
  <pageSetup paperSize="9" scale="90" orientation="portrait" horizontalDpi="300" verticalDpi="300" r:id="rId1"/>
  <headerFooter>
    <oddHeader>&amp;Rver. 1.3 (excel2007)[H28]</oddHeader>
    <oddFooter>&amp;Cⓒ　2013 hyoukakyoukai.All right reserved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0"/>
  <sheetViews>
    <sheetView zoomScaleNormal="100" workbookViewId="0">
      <selection sqref="A1:Z1"/>
    </sheetView>
  </sheetViews>
  <sheetFormatPr defaultRowHeight="13.5"/>
  <cols>
    <col min="1" max="28" width="3.875" style="91" customWidth="1"/>
    <col min="29" max="30" width="10.625" style="91" hidden="1" customWidth="1"/>
    <col min="31" max="31" width="2.625" style="91" hidden="1" customWidth="1"/>
    <col min="32" max="34" width="10.625" style="91" hidden="1" customWidth="1"/>
    <col min="35" max="35" width="2.625" style="91" hidden="1" customWidth="1"/>
    <col min="36" max="37" width="15.625" style="91" hidden="1" customWidth="1"/>
    <col min="38" max="38" width="2.625" style="91" hidden="1" customWidth="1"/>
    <col min="39" max="40" width="10.625" style="91" hidden="1" customWidth="1"/>
    <col min="41" max="42" width="3.625" style="91" customWidth="1"/>
    <col min="43" max="48" width="4.625" style="91" customWidth="1"/>
    <col min="49" max="16384" width="9" style="91"/>
  </cols>
  <sheetData>
    <row r="1" spans="1:40" s="75" customFormat="1" ht="30" customHeight="1">
      <c r="A1" s="228" t="s">
        <v>96</v>
      </c>
      <c r="B1" s="228"/>
      <c r="C1" s="228"/>
      <c r="D1" s="228"/>
      <c r="E1" s="228"/>
      <c r="F1" s="228"/>
      <c r="G1" s="228"/>
      <c r="H1" s="228"/>
      <c r="I1" s="228"/>
      <c r="J1" s="228"/>
      <c r="K1" s="228"/>
      <c r="L1" s="228"/>
      <c r="M1" s="228"/>
      <c r="N1" s="228"/>
      <c r="O1" s="228"/>
      <c r="P1" s="228"/>
      <c r="Q1" s="228"/>
      <c r="R1" s="228"/>
      <c r="S1" s="228"/>
      <c r="T1" s="228"/>
      <c r="U1" s="228"/>
      <c r="V1" s="228"/>
      <c r="W1" s="228"/>
      <c r="X1" s="228"/>
      <c r="Y1" s="228"/>
      <c r="Z1" s="228"/>
    </row>
    <row r="2" spans="1:40" s="76" customFormat="1" ht="24.95" customHeight="1" thickBot="1"/>
    <row r="3" spans="1:40" s="76" customFormat="1" ht="21.95" customHeight="1" thickBot="1">
      <c r="A3" s="77" t="s">
        <v>5</v>
      </c>
      <c r="Q3" s="229" t="s">
        <v>37</v>
      </c>
      <c r="R3" s="230"/>
      <c r="S3" s="230"/>
      <c r="T3" s="231"/>
      <c r="U3" s="232" t="b">
        <f>IF(共通条件・結果!Z6="８地域","0.325",IF(共通条件・結果!Z6="７地域",0.307,IF(共通条件・結果!Z6="６地域",0.341,IF(共通条件・結果!Z6="５地域",0.373,IF(共通条件・結果!Z6="４地域",0.322,IF(共通条件・結果!Z6="３地域",0.335,IF(共通条件・結果!Z6="２地域",0.341,IF(共通条件・結果!Z6="１地域",0.329))))))))</f>
        <v>0</v>
      </c>
      <c r="V3" s="233"/>
      <c r="W3" s="234" t="b">
        <f>IF(共通条件・結果!Z6="８地域","-",IF(共通条件・結果!Z6="７地域",0.227,IF(共通条件・結果!Z6="６地域",0.261,IF(共通条件・結果!Z6="５地域",0.238,IF(共通条件・結果!Z6="４地域",0.256,IF(共通条件・結果!Z6="３地域",0.284,IF(共通条件・結果!Z6="２地域",0.263,IF(共通条件・結果!Z6="１地域",0.26))))))))</f>
        <v>0</v>
      </c>
      <c r="X3" s="235"/>
    </row>
    <row r="4" spans="1:40" s="76" customFormat="1" ht="21.95" customHeight="1">
      <c r="A4" s="236" t="s">
        <v>6</v>
      </c>
      <c r="B4" s="237"/>
      <c r="C4" s="237" t="s">
        <v>113</v>
      </c>
      <c r="D4" s="237"/>
      <c r="E4" s="237"/>
      <c r="F4" s="237"/>
      <c r="G4" s="237" t="s">
        <v>7</v>
      </c>
      <c r="H4" s="237"/>
      <c r="I4" s="254" t="s">
        <v>127</v>
      </c>
      <c r="J4" s="237"/>
      <c r="K4" s="254" t="s">
        <v>10</v>
      </c>
      <c r="L4" s="237"/>
      <c r="M4" s="262" t="s">
        <v>91</v>
      </c>
      <c r="N4" s="263"/>
      <c r="O4" s="263"/>
      <c r="P4" s="263"/>
      <c r="Q4" s="263"/>
      <c r="R4" s="263"/>
      <c r="S4" s="263"/>
      <c r="T4" s="263"/>
      <c r="U4" s="254" t="s">
        <v>86</v>
      </c>
      <c r="V4" s="237"/>
      <c r="W4" s="254" t="s">
        <v>87</v>
      </c>
      <c r="X4" s="237"/>
      <c r="Y4" s="237" t="s">
        <v>13</v>
      </c>
      <c r="Z4" s="256"/>
    </row>
    <row r="5" spans="1:40" s="76" customFormat="1" ht="21.95" customHeight="1">
      <c r="A5" s="238"/>
      <c r="B5" s="239"/>
      <c r="C5" s="242" t="s">
        <v>9</v>
      </c>
      <c r="D5" s="243"/>
      <c r="E5" s="246" t="s">
        <v>8</v>
      </c>
      <c r="F5" s="247"/>
      <c r="G5" s="239"/>
      <c r="H5" s="239"/>
      <c r="I5" s="255"/>
      <c r="J5" s="239"/>
      <c r="K5" s="255"/>
      <c r="L5" s="239"/>
      <c r="M5" s="250" t="s">
        <v>89</v>
      </c>
      <c r="N5" s="251"/>
      <c r="O5" s="259" t="s">
        <v>90</v>
      </c>
      <c r="P5" s="260"/>
      <c r="Q5" s="260"/>
      <c r="R5" s="260"/>
      <c r="S5" s="260"/>
      <c r="T5" s="261"/>
      <c r="U5" s="255"/>
      <c r="V5" s="239"/>
      <c r="W5" s="255"/>
      <c r="X5" s="239"/>
      <c r="Y5" s="239"/>
      <c r="Z5" s="257"/>
      <c r="AC5" s="264" t="s">
        <v>94</v>
      </c>
      <c r="AD5" s="264"/>
      <c r="AE5" s="78"/>
      <c r="AF5" s="78"/>
      <c r="AG5" s="264" t="s">
        <v>14</v>
      </c>
      <c r="AH5" s="264"/>
      <c r="AI5" s="78"/>
      <c r="AJ5" s="264" t="s">
        <v>95</v>
      </c>
      <c r="AK5" s="264"/>
      <c r="AM5" s="264" t="s">
        <v>110</v>
      </c>
      <c r="AN5" s="264"/>
    </row>
    <row r="6" spans="1:40" s="76" customFormat="1" ht="21.95" customHeight="1" thickBot="1">
      <c r="A6" s="240"/>
      <c r="B6" s="241"/>
      <c r="C6" s="244"/>
      <c r="D6" s="245"/>
      <c r="E6" s="248"/>
      <c r="F6" s="249"/>
      <c r="G6" s="241"/>
      <c r="H6" s="241"/>
      <c r="I6" s="241"/>
      <c r="J6" s="241"/>
      <c r="K6" s="241"/>
      <c r="L6" s="241"/>
      <c r="M6" s="252"/>
      <c r="N6" s="253"/>
      <c r="O6" s="249" t="s">
        <v>11</v>
      </c>
      <c r="P6" s="267"/>
      <c r="Q6" s="268" t="s">
        <v>12</v>
      </c>
      <c r="R6" s="269"/>
      <c r="S6" s="249" t="s">
        <v>3</v>
      </c>
      <c r="T6" s="267"/>
      <c r="U6" s="241"/>
      <c r="V6" s="241"/>
      <c r="W6" s="241"/>
      <c r="X6" s="241"/>
      <c r="Y6" s="241"/>
      <c r="Z6" s="258"/>
      <c r="AC6" s="78" t="s">
        <v>4</v>
      </c>
      <c r="AD6" s="78" t="s">
        <v>18</v>
      </c>
      <c r="AE6" s="78"/>
      <c r="AF6" s="78"/>
      <c r="AG6" s="78" t="s">
        <v>4</v>
      </c>
      <c r="AH6" s="78" t="s">
        <v>18</v>
      </c>
      <c r="AI6" s="78"/>
      <c r="AJ6" s="78" t="s">
        <v>4</v>
      </c>
      <c r="AK6" s="78" t="s">
        <v>18</v>
      </c>
      <c r="AM6" s="76" t="s">
        <v>108</v>
      </c>
      <c r="AN6" s="76" t="s">
        <v>106</v>
      </c>
    </row>
    <row r="7" spans="1:40" s="76" customFormat="1" ht="21.95" customHeight="1">
      <c r="A7" s="277"/>
      <c r="B7" s="278"/>
      <c r="C7" s="279"/>
      <c r="D7" s="280"/>
      <c r="E7" s="280"/>
      <c r="F7" s="281"/>
      <c r="G7" s="282"/>
      <c r="H7" s="282"/>
      <c r="I7" s="282"/>
      <c r="J7" s="282"/>
      <c r="K7" s="283"/>
      <c r="L7" s="283"/>
      <c r="M7" s="265"/>
      <c r="N7" s="266"/>
      <c r="O7" s="271"/>
      <c r="P7" s="272"/>
      <c r="Q7" s="273"/>
      <c r="R7" s="274"/>
      <c r="S7" s="275"/>
      <c r="T7" s="271"/>
      <c r="U7" s="270" t="str">
        <f>IF(C7="","",AC7)</f>
        <v/>
      </c>
      <c r="V7" s="270"/>
      <c r="W7" s="270" t="str">
        <f>IF(C7="","",IF(ISERROR(AD7),#VALUE!,AD7))</f>
        <v/>
      </c>
      <c r="X7" s="270"/>
      <c r="Y7" s="270" t="str">
        <f>IF(C7="","",C7*E7*AM7)</f>
        <v/>
      </c>
      <c r="Z7" s="276"/>
      <c r="AC7" s="76" t="e">
        <f>C7*E7*I7*$U$3*AG7</f>
        <v>#VALUE!</v>
      </c>
      <c r="AD7" s="76" t="e">
        <f>C7*E7*I7*$W$3*AH7</f>
        <v>#VALUE!</v>
      </c>
      <c r="AF7" s="79" t="b">
        <v>0</v>
      </c>
      <c r="AG7" s="76" t="str">
        <f>IF(AF7=TRUE,"0.93",IF(ISERROR(AJ7),"エラー",IF(AJ7&gt;0.93,"0.93",AJ7)))</f>
        <v>エラー</v>
      </c>
      <c r="AH7" s="76" t="str">
        <f>IF(AF7=TRUE,"0.51",IF(ISERROR(AK7),"エラー",IF(AK7&gt;0.72,"0.72",AK7)))</f>
        <v>エラー</v>
      </c>
      <c r="AJ7" s="76" t="e">
        <f>0.01*(16+24*(2*Q7+S7)/O7)</f>
        <v>#DIV/0!</v>
      </c>
      <c r="AK7" s="76" t="e">
        <f>0.01*(10+15*(2*Q7+S7)/O7)</f>
        <v>#DIV/0!</v>
      </c>
      <c r="AM7" s="76">
        <f>IF(共通条件・結果!$Z$6="８地域",G7,IF(AN7="FALSE",G7,IF(K7="風除室",1/((1/G7)+0.1),0.5*G7+0.5*(1/((1/G7)+AN7)))))</f>
        <v>0</v>
      </c>
      <c r="AN7" s="78" t="str">
        <f t="shared" ref="AN7:AN16" si="0">IF(K7="","FALSE",IF(K7="雨戸",0.1,IF(K7="ｼｬｯﾀｰ",0.1,IF(K7="障子",0.18,IF(K7="風除室",0.1)))))</f>
        <v>FALSE</v>
      </c>
    </row>
    <row r="8" spans="1:40" s="76" customFormat="1" ht="21.95" customHeight="1">
      <c r="A8" s="207"/>
      <c r="B8" s="208"/>
      <c r="C8" s="209"/>
      <c r="D8" s="210"/>
      <c r="E8" s="210"/>
      <c r="F8" s="211"/>
      <c r="G8" s="212"/>
      <c r="H8" s="212"/>
      <c r="I8" s="212"/>
      <c r="J8" s="212"/>
      <c r="K8" s="213" t="s">
        <v>85</v>
      </c>
      <c r="L8" s="213"/>
      <c r="M8" s="220"/>
      <c r="N8" s="221"/>
      <c r="O8" s="284"/>
      <c r="P8" s="222"/>
      <c r="Q8" s="285"/>
      <c r="R8" s="286"/>
      <c r="S8" s="225"/>
      <c r="T8" s="284"/>
      <c r="U8" s="205" t="str">
        <f t="shared" ref="U8:U16" si="1">IF(C8="","",AC8)</f>
        <v/>
      </c>
      <c r="V8" s="205"/>
      <c r="W8" s="205" t="str">
        <f t="shared" ref="W8:W16" si="2">IF(C8="","",IF(ISERROR(AD8),#VALUE!,AD8))</f>
        <v/>
      </c>
      <c r="X8" s="205"/>
      <c r="Y8" s="205" t="str">
        <f t="shared" ref="Y8:Y16" si="3">IF(C8="","",C8*E8*AM8)</f>
        <v/>
      </c>
      <c r="Z8" s="206"/>
      <c r="AC8" s="76" t="e">
        <f t="shared" ref="AC8:AC16" si="4">C8*E8*I8*$U$3*AG8</f>
        <v>#VALUE!</v>
      </c>
      <c r="AD8" s="76" t="e">
        <f t="shared" ref="AD8:AD16" si="5">C8*E8*I8*$W$3*AH8</f>
        <v>#VALUE!</v>
      </c>
      <c r="AF8" s="79" t="b">
        <v>0</v>
      </c>
      <c r="AG8" s="76" t="str">
        <f t="shared" ref="AG8:AG16" si="6">IF(AF8=TRUE,"0.93",IF(ISERROR(AJ8),"エラー",IF(AJ8&gt;0.93,"0.93",AJ8)))</f>
        <v>エラー</v>
      </c>
      <c r="AH8" s="76" t="str">
        <f t="shared" ref="AH8:AH16" si="7">IF(AF8=TRUE,"0.51",IF(ISERROR(AK8),"エラー",IF(AK8&gt;0.72,"0.72",AK8)))</f>
        <v>エラー</v>
      </c>
      <c r="AJ8" s="76" t="e">
        <f t="shared" ref="AJ8:AJ16" si="8">0.01*(16+24*(2*Q8+S8)/O8)</f>
        <v>#DIV/0!</v>
      </c>
      <c r="AK8" s="76" t="e">
        <f t="shared" ref="AK8:AK16" si="9">0.01*(10+15*(2*Q8+S8)/O8)</f>
        <v>#DIV/0!</v>
      </c>
      <c r="AM8" s="76" t="e">
        <f>IF(共通条件・結果!$Z$6="８地域",G8,IF(AN8="FALSE",G8,IF(K8="風除室",1/((1/G8)+0.1),0.5*G8+0.5*(1/((1/G8)+AN8)))))</f>
        <v>#DIV/0!</v>
      </c>
      <c r="AN8" s="78" t="b">
        <f t="shared" si="0"/>
        <v>0</v>
      </c>
    </row>
    <row r="9" spans="1:40" s="76" customFormat="1" ht="21.95" customHeight="1">
      <c r="A9" s="207"/>
      <c r="B9" s="208"/>
      <c r="C9" s="209"/>
      <c r="D9" s="210"/>
      <c r="E9" s="210"/>
      <c r="F9" s="211"/>
      <c r="G9" s="212"/>
      <c r="H9" s="212"/>
      <c r="I9" s="212"/>
      <c r="J9" s="212"/>
      <c r="K9" s="213" t="s">
        <v>85</v>
      </c>
      <c r="L9" s="213"/>
      <c r="M9" s="220"/>
      <c r="N9" s="221"/>
      <c r="O9" s="222"/>
      <c r="P9" s="223"/>
      <c r="Q9" s="224"/>
      <c r="R9" s="223"/>
      <c r="S9" s="224"/>
      <c r="T9" s="225"/>
      <c r="U9" s="205" t="str">
        <f>IF(C9="","",AC9)</f>
        <v/>
      </c>
      <c r="V9" s="205"/>
      <c r="W9" s="205" t="str">
        <f t="shared" si="2"/>
        <v/>
      </c>
      <c r="X9" s="205"/>
      <c r="Y9" s="205" t="str">
        <f>IF(C9="","",C9*E9*AM9)</f>
        <v/>
      </c>
      <c r="Z9" s="206"/>
      <c r="AC9" s="76" t="e">
        <f>C9*E9*I9*$U$3*AG9</f>
        <v>#VALUE!</v>
      </c>
      <c r="AD9" s="76" t="e">
        <f>C9*E9*I9*$W$3*AH9</f>
        <v>#VALUE!</v>
      </c>
      <c r="AF9" s="79" t="b">
        <v>0</v>
      </c>
      <c r="AG9" s="76" t="str">
        <f t="shared" si="6"/>
        <v>エラー</v>
      </c>
      <c r="AH9" s="76" t="str">
        <f t="shared" si="7"/>
        <v>エラー</v>
      </c>
      <c r="AJ9" s="76" t="e">
        <f>0.01*(16+24*(2*Q9+S9)/O9)</f>
        <v>#DIV/0!</v>
      </c>
      <c r="AK9" s="76" t="e">
        <f>0.01*(10+15*(2*Q9+S9)/O9)</f>
        <v>#DIV/0!</v>
      </c>
      <c r="AM9" s="76" t="e">
        <f>IF(共通条件・結果!$Z$6="８地域",G9,IF(AN9="FALSE",G9,IF(K9="風除室",1/((1/G9)+0.1),0.5*G9+0.5*(1/((1/G9)+AN9)))))</f>
        <v>#DIV/0!</v>
      </c>
      <c r="AN9" s="78" t="b">
        <f>IF(K9="","FALSE",IF(K9="雨戸",0.1,IF(K9="ｼｬｯﾀｰ",0.1,IF(K9="障子",0.18,IF(K9="風除室",0.1)))))</f>
        <v>0</v>
      </c>
    </row>
    <row r="10" spans="1:40" s="76" customFormat="1" ht="21.95" customHeight="1">
      <c r="A10" s="207"/>
      <c r="B10" s="208"/>
      <c r="C10" s="209"/>
      <c r="D10" s="210"/>
      <c r="E10" s="210"/>
      <c r="F10" s="211"/>
      <c r="G10" s="212"/>
      <c r="H10" s="212"/>
      <c r="I10" s="212"/>
      <c r="J10" s="212"/>
      <c r="K10" s="213" t="s">
        <v>85</v>
      </c>
      <c r="L10" s="213"/>
      <c r="M10" s="220"/>
      <c r="N10" s="221"/>
      <c r="O10" s="222"/>
      <c r="P10" s="223"/>
      <c r="Q10" s="224"/>
      <c r="R10" s="223"/>
      <c r="S10" s="224"/>
      <c r="T10" s="225"/>
      <c r="U10" s="205" t="str">
        <f>IF(C10="","",AC10)</f>
        <v/>
      </c>
      <c r="V10" s="205"/>
      <c r="W10" s="205" t="str">
        <f t="shared" si="2"/>
        <v/>
      </c>
      <c r="X10" s="205"/>
      <c r="Y10" s="205" t="str">
        <f>IF(C10="","",C10*E10*AM10)</f>
        <v/>
      </c>
      <c r="Z10" s="206"/>
      <c r="AC10" s="76" t="e">
        <f>C10*E10*I10*$U$3*AG10</f>
        <v>#VALUE!</v>
      </c>
      <c r="AD10" s="76" t="e">
        <f>C10*E10*I10*$W$3*AH10</f>
        <v>#VALUE!</v>
      </c>
      <c r="AF10" s="79" t="b">
        <v>0</v>
      </c>
      <c r="AG10" s="76" t="str">
        <f t="shared" si="6"/>
        <v>エラー</v>
      </c>
      <c r="AH10" s="76" t="str">
        <f t="shared" si="7"/>
        <v>エラー</v>
      </c>
      <c r="AJ10" s="76" t="e">
        <f>0.01*(16+24*(2*Q10+S10)/O10)</f>
        <v>#DIV/0!</v>
      </c>
      <c r="AK10" s="76" t="e">
        <f>0.01*(10+15*(2*Q10+S10)/O10)</f>
        <v>#DIV/0!</v>
      </c>
      <c r="AM10" s="76" t="e">
        <f>IF(共通条件・結果!$Z$6="８地域",G10,IF(AN10="FALSE",G10,IF(K10="風除室",1/((1/G10)+0.1),0.5*G10+0.5*(1/((1/G10)+AN10)))))</f>
        <v>#DIV/0!</v>
      </c>
      <c r="AN10" s="78" t="b">
        <f>IF(K10="","FALSE",IF(K10="雨戸",0.1,IF(K10="ｼｬｯﾀｰ",0.1,IF(K10="障子",0.18,IF(K10="風除室",0.1)))))</f>
        <v>0</v>
      </c>
    </row>
    <row r="11" spans="1:40" s="76" customFormat="1" ht="21.95" customHeight="1">
      <c r="A11" s="207"/>
      <c r="B11" s="208"/>
      <c r="C11" s="209"/>
      <c r="D11" s="210"/>
      <c r="E11" s="210"/>
      <c r="F11" s="211"/>
      <c r="G11" s="212"/>
      <c r="H11" s="212"/>
      <c r="I11" s="212"/>
      <c r="J11" s="212"/>
      <c r="K11" s="213" t="s">
        <v>85</v>
      </c>
      <c r="L11" s="213"/>
      <c r="M11" s="220"/>
      <c r="N11" s="221"/>
      <c r="O11" s="222"/>
      <c r="P11" s="223"/>
      <c r="Q11" s="224"/>
      <c r="R11" s="223"/>
      <c r="S11" s="224"/>
      <c r="T11" s="225"/>
      <c r="U11" s="205" t="str">
        <f>IF(C11="","",AC11)</f>
        <v/>
      </c>
      <c r="V11" s="205"/>
      <c r="W11" s="205" t="str">
        <f t="shared" si="2"/>
        <v/>
      </c>
      <c r="X11" s="205"/>
      <c r="Y11" s="205" t="str">
        <f>IF(C11="","",C11*E11*AM11)</f>
        <v/>
      </c>
      <c r="Z11" s="206"/>
      <c r="AC11" s="76" t="e">
        <f>C11*E11*I11*$U$3*AG11</f>
        <v>#VALUE!</v>
      </c>
      <c r="AD11" s="76" t="e">
        <f>C11*E11*I11*$W$3*AH11</f>
        <v>#VALUE!</v>
      </c>
      <c r="AF11" s="79" t="b">
        <v>0</v>
      </c>
      <c r="AG11" s="76" t="str">
        <f t="shared" si="6"/>
        <v>エラー</v>
      </c>
      <c r="AH11" s="76" t="str">
        <f t="shared" si="7"/>
        <v>エラー</v>
      </c>
      <c r="AJ11" s="76" t="e">
        <f>0.01*(16+24*(2*Q11+S11)/O11)</f>
        <v>#DIV/0!</v>
      </c>
      <c r="AK11" s="76" t="e">
        <f>0.01*(10+15*(2*Q11+S11)/O11)</f>
        <v>#DIV/0!</v>
      </c>
      <c r="AM11" s="76" t="e">
        <f>IF(共通条件・結果!$Z$6="８地域",G11,IF(AN11="FALSE",G11,IF(K11="風除室",1/((1/G11)+0.1),0.5*G11+0.5*(1/((1/G11)+AN11)))))</f>
        <v>#DIV/0!</v>
      </c>
      <c r="AN11" s="78" t="b">
        <f>IF(K11="","FALSE",IF(K11="雨戸",0.1,IF(K11="ｼｬｯﾀｰ",0.1,IF(K11="障子",0.18,IF(K11="風除室",0.1)))))</f>
        <v>0</v>
      </c>
    </row>
    <row r="12" spans="1:40" s="76" customFormat="1" ht="21.95" customHeight="1">
      <c r="A12" s="207"/>
      <c r="B12" s="208"/>
      <c r="C12" s="209"/>
      <c r="D12" s="210"/>
      <c r="E12" s="210"/>
      <c r="F12" s="211"/>
      <c r="G12" s="212"/>
      <c r="H12" s="212"/>
      <c r="I12" s="212"/>
      <c r="J12" s="212"/>
      <c r="K12" s="213" t="s">
        <v>85</v>
      </c>
      <c r="L12" s="213"/>
      <c r="M12" s="220"/>
      <c r="N12" s="221"/>
      <c r="O12" s="222"/>
      <c r="P12" s="223"/>
      <c r="Q12" s="224"/>
      <c r="R12" s="223"/>
      <c r="S12" s="224"/>
      <c r="T12" s="225"/>
      <c r="U12" s="226" t="str">
        <f t="shared" si="1"/>
        <v/>
      </c>
      <c r="V12" s="227"/>
      <c r="W12" s="205" t="str">
        <f t="shared" si="2"/>
        <v/>
      </c>
      <c r="X12" s="205"/>
      <c r="Y12" s="205" t="str">
        <f t="shared" si="3"/>
        <v/>
      </c>
      <c r="Z12" s="206"/>
      <c r="AC12" s="76" t="e">
        <f>C12*E12*I12*$U$3*AG12</f>
        <v>#VALUE!</v>
      </c>
      <c r="AD12" s="76" t="e">
        <f>C12*E12*I12*$W$3*AH12</f>
        <v>#VALUE!</v>
      </c>
      <c r="AF12" s="79" t="b">
        <v>0</v>
      </c>
      <c r="AG12" s="76" t="str">
        <f t="shared" si="6"/>
        <v>エラー</v>
      </c>
      <c r="AH12" s="76" t="str">
        <f t="shared" si="7"/>
        <v>エラー</v>
      </c>
      <c r="AJ12" s="76" t="e">
        <f>0.01*(16+24*(2*Q12+S12)/O12)</f>
        <v>#DIV/0!</v>
      </c>
      <c r="AK12" s="76" t="e">
        <f>0.01*(10+15*(2*Q12+S12)/O12)</f>
        <v>#DIV/0!</v>
      </c>
      <c r="AM12" s="76" t="e">
        <f>IF(共通条件・結果!$Z$6="８地域",G12,IF(AN12="FALSE",G12,IF(K12="風除室",1/((1/G12)+0.1),0.5*G12+0.5*(1/((1/G12)+AN12)))))</f>
        <v>#DIV/0!</v>
      </c>
      <c r="AN12" s="78" t="b">
        <f>IF(K12="","FALSE",IF(K12="雨戸",0.1,IF(K12="ｼｬｯﾀｰ",0.1,IF(K12="障子",0.18,IF(K12="風除室",0.1)))))</f>
        <v>0</v>
      </c>
    </row>
    <row r="13" spans="1:40" s="76" customFormat="1" ht="21.95" customHeight="1">
      <c r="A13" s="207"/>
      <c r="B13" s="208"/>
      <c r="C13" s="209"/>
      <c r="D13" s="210"/>
      <c r="E13" s="210"/>
      <c r="F13" s="211"/>
      <c r="G13" s="212"/>
      <c r="H13" s="212"/>
      <c r="I13" s="212"/>
      <c r="J13" s="212"/>
      <c r="K13" s="213"/>
      <c r="L13" s="213"/>
      <c r="M13" s="220"/>
      <c r="N13" s="221"/>
      <c r="O13" s="222"/>
      <c r="P13" s="223"/>
      <c r="Q13" s="224"/>
      <c r="R13" s="223"/>
      <c r="S13" s="224"/>
      <c r="T13" s="225"/>
      <c r="U13" s="226" t="str">
        <f t="shared" si="1"/>
        <v/>
      </c>
      <c r="V13" s="227"/>
      <c r="W13" s="205" t="str">
        <f t="shared" si="2"/>
        <v/>
      </c>
      <c r="X13" s="205"/>
      <c r="Y13" s="205" t="str">
        <f t="shared" si="3"/>
        <v/>
      </c>
      <c r="Z13" s="206"/>
      <c r="AC13" s="76" t="e">
        <f t="shared" si="4"/>
        <v>#VALUE!</v>
      </c>
      <c r="AD13" s="76" t="e">
        <f t="shared" si="5"/>
        <v>#VALUE!</v>
      </c>
      <c r="AF13" s="79" t="b">
        <v>0</v>
      </c>
      <c r="AG13" s="76" t="str">
        <f t="shared" si="6"/>
        <v>エラー</v>
      </c>
      <c r="AH13" s="76" t="str">
        <f t="shared" si="7"/>
        <v>エラー</v>
      </c>
      <c r="AJ13" s="76" t="e">
        <f t="shared" si="8"/>
        <v>#DIV/0!</v>
      </c>
      <c r="AK13" s="76" t="e">
        <f t="shared" si="9"/>
        <v>#DIV/0!</v>
      </c>
      <c r="AM13" s="76">
        <f>IF(共通条件・結果!$Z$6="８地域",G13,IF(AN13="FALSE",G13,IF(K13="風除室",1/((1/G13)+0.1),0.5*G13+0.5*(1/((1/G13)+AN13)))))</f>
        <v>0</v>
      </c>
      <c r="AN13" s="78" t="str">
        <f t="shared" si="0"/>
        <v>FALSE</v>
      </c>
    </row>
    <row r="14" spans="1:40" s="76" customFormat="1" ht="21.95" customHeight="1">
      <c r="A14" s="207"/>
      <c r="B14" s="208"/>
      <c r="C14" s="209"/>
      <c r="D14" s="210"/>
      <c r="E14" s="210"/>
      <c r="F14" s="211"/>
      <c r="G14" s="212"/>
      <c r="H14" s="212"/>
      <c r="I14" s="212"/>
      <c r="J14" s="212"/>
      <c r="K14" s="213" t="s">
        <v>85</v>
      </c>
      <c r="L14" s="213"/>
      <c r="M14" s="220"/>
      <c r="N14" s="221"/>
      <c r="O14" s="284"/>
      <c r="P14" s="222"/>
      <c r="Q14" s="224"/>
      <c r="R14" s="223"/>
      <c r="S14" s="224"/>
      <c r="T14" s="225"/>
      <c r="U14" s="226" t="str">
        <f t="shared" si="1"/>
        <v/>
      </c>
      <c r="V14" s="227"/>
      <c r="W14" s="205" t="str">
        <f t="shared" si="2"/>
        <v/>
      </c>
      <c r="X14" s="205"/>
      <c r="Y14" s="205" t="str">
        <f t="shared" si="3"/>
        <v/>
      </c>
      <c r="Z14" s="206"/>
      <c r="AC14" s="76" t="e">
        <f t="shared" si="4"/>
        <v>#VALUE!</v>
      </c>
      <c r="AD14" s="76" t="e">
        <f t="shared" si="5"/>
        <v>#VALUE!</v>
      </c>
      <c r="AF14" s="79" t="b">
        <v>0</v>
      </c>
      <c r="AG14" s="76" t="str">
        <f t="shared" si="6"/>
        <v>エラー</v>
      </c>
      <c r="AH14" s="76" t="str">
        <f t="shared" si="7"/>
        <v>エラー</v>
      </c>
      <c r="AJ14" s="76" t="e">
        <f t="shared" si="8"/>
        <v>#DIV/0!</v>
      </c>
      <c r="AK14" s="76" t="e">
        <f t="shared" si="9"/>
        <v>#DIV/0!</v>
      </c>
      <c r="AM14" s="76" t="e">
        <f>IF(共通条件・結果!$Z$6="８地域",G14,IF(AN14="FALSE",G14,IF(K14="風除室",1/((1/G14)+0.1),0.5*G14+0.5*(1/((1/G14)+AN14)))))</f>
        <v>#DIV/0!</v>
      </c>
      <c r="AN14" s="78" t="b">
        <f t="shared" si="0"/>
        <v>0</v>
      </c>
    </row>
    <row r="15" spans="1:40" s="76" customFormat="1" ht="21.95" customHeight="1">
      <c r="A15" s="207"/>
      <c r="B15" s="208"/>
      <c r="C15" s="209"/>
      <c r="D15" s="210"/>
      <c r="E15" s="210"/>
      <c r="F15" s="211"/>
      <c r="G15" s="212"/>
      <c r="H15" s="212"/>
      <c r="I15" s="212"/>
      <c r="J15" s="212"/>
      <c r="K15" s="213" t="s">
        <v>85</v>
      </c>
      <c r="L15" s="213"/>
      <c r="M15" s="220"/>
      <c r="N15" s="221"/>
      <c r="O15" s="284"/>
      <c r="P15" s="222"/>
      <c r="Q15" s="285"/>
      <c r="R15" s="286"/>
      <c r="S15" s="225"/>
      <c r="T15" s="284"/>
      <c r="U15" s="226" t="str">
        <f t="shared" si="1"/>
        <v/>
      </c>
      <c r="V15" s="227"/>
      <c r="W15" s="205" t="str">
        <f t="shared" si="2"/>
        <v/>
      </c>
      <c r="X15" s="205"/>
      <c r="Y15" s="205" t="str">
        <f t="shared" si="3"/>
        <v/>
      </c>
      <c r="Z15" s="206"/>
      <c r="AC15" s="76" t="e">
        <f t="shared" si="4"/>
        <v>#VALUE!</v>
      </c>
      <c r="AD15" s="76" t="e">
        <f t="shared" si="5"/>
        <v>#VALUE!</v>
      </c>
      <c r="AF15" s="79" t="b">
        <v>0</v>
      </c>
      <c r="AG15" s="76" t="str">
        <f t="shared" si="6"/>
        <v>エラー</v>
      </c>
      <c r="AH15" s="76" t="str">
        <f t="shared" si="7"/>
        <v>エラー</v>
      </c>
      <c r="AJ15" s="76" t="e">
        <f t="shared" si="8"/>
        <v>#DIV/0!</v>
      </c>
      <c r="AK15" s="76" t="e">
        <f t="shared" si="9"/>
        <v>#DIV/0!</v>
      </c>
      <c r="AM15" s="76" t="e">
        <f>IF(共通条件・結果!$Z$6="８地域",G15,IF(AN15="FALSE",G15,IF(K15="風除室",1/((1/G15)+0.1),0.5*G15+0.5*(1/((1/G15)+AN15)))))</f>
        <v>#DIV/0!</v>
      </c>
      <c r="AN15" s="78" t="b">
        <f t="shared" si="0"/>
        <v>0</v>
      </c>
    </row>
    <row r="16" spans="1:40" s="76" customFormat="1" ht="21.95" customHeight="1" thickBot="1">
      <c r="A16" s="306"/>
      <c r="B16" s="307"/>
      <c r="C16" s="308"/>
      <c r="D16" s="295"/>
      <c r="E16" s="295"/>
      <c r="F16" s="296"/>
      <c r="G16" s="294"/>
      <c r="H16" s="294"/>
      <c r="I16" s="294"/>
      <c r="J16" s="294"/>
      <c r="K16" s="283" t="s">
        <v>85</v>
      </c>
      <c r="L16" s="283"/>
      <c r="M16" s="287"/>
      <c r="N16" s="288"/>
      <c r="O16" s="289"/>
      <c r="P16" s="290"/>
      <c r="Q16" s="291"/>
      <c r="R16" s="292"/>
      <c r="S16" s="293"/>
      <c r="T16" s="289"/>
      <c r="U16" s="226" t="str">
        <f t="shared" si="1"/>
        <v/>
      </c>
      <c r="V16" s="227"/>
      <c r="W16" s="205" t="str">
        <f t="shared" si="2"/>
        <v/>
      </c>
      <c r="X16" s="205"/>
      <c r="Y16" s="300" t="str">
        <f t="shared" si="3"/>
        <v/>
      </c>
      <c r="Z16" s="301"/>
      <c r="AC16" s="76" t="e">
        <f t="shared" si="4"/>
        <v>#VALUE!</v>
      </c>
      <c r="AD16" s="76" t="e">
        <f t="shared" si="5"/>
        <v>#VALUE!</v>
      </c>
      <c r="AF16" s="79" t="b">
        <v>0</v>
      </c>
      <c r="AG16" s="76" t="str">
        <f t="shared" si="6"/>
        <v>エラー</v>
      </c>
      <c r="AH16" s="76" t="str">
        <f t="shared" si="7"/>
        <v>エラー</v>
      </c>
      <c r="AJ16" s="76" t="e">
        <f t="shared" si="8"/>
        <v>#DIV/0!</v>
      </c>
      <c r="AK16" s="76" t="e">
        <f t="shared" si="9"/>
        <v>#DIV/0!</v>
      </c>
      <c r="AM16" s="76" t="e">
        <f>IF(共通条件・結果!$Z$6="８地域",G16,IF(AN16="FALSE",G16,IF(K16="風除室",1/((1/G16)+0.1),0.5*G16+0.5*(1/((1/G16)+AN16)))))</f>
        <v>#DIV/0!</v>
      </c>
      <c r="AN16" s="78" t="b">
        <f t="shared" si="0"/>
        <v>0</v>
      </c>
    </row>
    <row r="17" spans="1:40" s="76" customFormat="1" ht="21.95" customHeight="1" thickBot="1">
      <c r="A17" s="302" t="s">
        <v>97</v>
      </c>
      <c r="B17" s="303"/>
      <c r="C17" s="303"/>
      <c r="D17" s="303"/>
      <c r="E17" s="303"/>
      <c r="F17" s="303"/>
      <c r="G17" s="303"/>
      <c r="H17" s="303"/>
      <c r="I17" s="303"/>
      <c r="J17" s="303"/>
      <c r="K17" s="303"/>
      <c r="L17" s="303"/>
      <c r="M17" s="303"/>
      <c r="N17" s="303"/>
      <c r="O17" s="303"/>
      <c r="P17" s="303"/>
      <c r="Q17" s="303"/>
      <c r="R17" s="303"/>
      <c r="S17" s="303"/>
      <c r="T17" s="303"/>
      <c r="U17" s="304">
        <f>SUM(U7:V16)</f>
        <v>0</v>
      </c>
      <c r="V17" s="304"/>
      <c r="W17" s="304">
        <f>SUM(W7:X16)</f>
        <v>0</v>
      </c>
      <c r="X17" s="304"/>
      <c r="Y17" s="304">
        <f>SUM(Y7:Z16)</f>
        <v>0</v>
      </c>
      <c r="Z17" s="305"/>
    </row>
    <row r="18" spans="1:40" s="76" customFormat="1" ht="9.9499999999999993" customHeight="1">
      <c r="AM18" s="264"/>
      <c r="AN18" s="264"/>
    </row>
    <row r="19" spans="1:40" s="76" customFormat="1" ht="21.95" customHeight="1" thickBot="1">
      <c r="I19" s="77" t="s">
        <v>15</v>
      </c>
      <c r="J19" s="77"/>
      <c r="K19" s="77"/>
    </row>
    <row r="20" spans="1:40" s="76" customFormat="1" ht="21.95" customHeight="1">
      <c r="I20" s="352" t="s">
        <v>16</v>
      </c>
      <c r="J20" s="356"/>
      <c r="K20" s="356"/>
      <c r="L20" s="353"/>
      <c r="M20" s="237" t="s">
        <v>113</v>
      </c>
      <c r="N20" s="237"/>
      <c r="O20" s="237"/>
      <c r="P20" s="237"/>
      <c r="Q20" s="237" t="s">
        <v>7</v>
      </c>
      <c r="R20" s="237"/>
      <c r="S20" s="366" t="s">
        <v>10</v>
      </c>
      <c r="T20" s="367"/>
      <c r="U20" s="254" t="s">
        <v>88</v>
      </c>
      <c r="V20" s="237"/>
      <c r="W20" s="254" t="s">
        <v>87</v>
      </c>
      <c r="X20" s="237"/>
      <c r="Y20" s="237" t="s">
        <v>13</v>
      </c>
      <c r="Z20" s="256"/>
      <c r="AM20" s="264" t="s">
        <v>110</v>
      </c>
      <c r="AN20" s="264"/>
    </row>
    <row r="21" spans="1:40" s="76" customFormat="1" ht="21.95" customHeight="1" thickBot="1">
      <c r="I21" s="354"/>
      <c r="J21" s="248"/>
      <c r="K21" s="248"/>
      <c r="L21" s="249"/>
      <c r="M21" s="297" t="s">
        <v>9</v>
      </c>
      <c r="N21" s="298"/>
      <c r="O21" s="299" t="s">
        <v>8</v>
      </c>
      <c r="P21" s="241"/>
      <c r="Q21" s="241"/>
      <c r="R21" s="241"/>
      <c r="S21" s="368"/>
      <c r="T21" s="368"/>
      <c r="U21" s="241"/>
      <c r="V21" s="241"/>
      <c r="W21" s="241"/>
      <c r="X21" s="241"/>
      <c r="Y21" s="241"/>
      <c r="Z21" s="258"/>
      <c r="AM21" s="76" t="s">
        <v>108</v>
      </c>
      <c r="AN21" s="76" t="s">
        <v>106</v>
      </c>
    </row>
    <row r="22" spans="1:40" s="76" customFormat="1" ht="21.95" customHeight="1">
      <c r="B22" s="80"/>
      <c r="C22" s="80"/>
      <c r="D22" s="80"/>
      <c r="E22" s="80"/>
      <c r="F22" s="80"/>
      <c r="G22" s="80"/>
      <c r="H22" s="80"/>
      <c r="I22" s="218"/>
      <c r="J22" s="357"/>
      <c r="K22" s="357"/>
      <c r="L22" s="219"/>
      <c r="M22" s="279"/>
      <c r="N22" s="280"/>
      <c r="O22" s="280"/>
      <c r="P22" s="281"/>
      <c r="Q22" s="338"/>
      <c r="R22" s="338"/>
      <c r="S22" s="283"/>
      <c r="T22" s="283"/>
      <c r="U22" s="300" t="str">
        <f>IF(M22="","",M22*O22*Q22*0.034*$U$3)</f>
        <v/>
      </c>
      <c r="V22" s="300"/>
      <c r="W22" s="300" t="str">
        <f>IF(M22="","",IF(ISERROR(M22*O22*Q22*0.034*$W$3),"-",M22*O22*Q22*0.034*$W$3))</f>
        <v/>
      </c>
      <c r="X22" s="300"/>
      <c r="Y22" s="300" t="str">
        <f>IF(M22="","",M22*O22*AM22)</f>
        <v/>
      </c>
      <c r="Z22" s="301"/>
      <c r="AM22" s="76">
        <f>IF(共通条件・結果!$Z$6="８地域",Q22,IF(AN22="FALSE",Q22,IF(S22="風除室",1/((1/Q22)+0.1),0.5*Q22+0.5*(1/((1/Q22)+AN22)))))</f>
        <v>0</v>
      </c>
      <c r="AN22" s="78" t="str">
        <f>IF(S22="","FALSE",IF(S22="雨戸",0.1,IF(S22="ｼｬｯﾀｰ",0.1,IF(S22="障子",0.18,IF(S22="風除室",0.1)))))</f>
        <v>FALSE</v>
      </c>
    </row>
    <row r="23" spans="1:40" s="76" customFormat="1" ht="21.95" customHeight="1" thickBot="1">
      <c r="B23" s="80"/>
      <c r="C23" s="80"/>
      <c r="D23" s="80"/>
      <c r="E23" s="80"/>
      <c r="F23" s="80"/>
      <c r="G23" s="80"/>
      <c r="H23" s="80"/>
      <c r="I23" s="214"/>
      <c r="J23" s="358"/>
      <c r="K23" s="358"/>
      <c r="L23" s="215"/>
      <c r="M23" s="308"/>
      <c r="N23" s="295"/>
      <c r="O23" s="295"/>
      <c r="P23" s="296"/>
      <c r="Q23" s="294"/>
      <c r="R23" s="294"/>
      <c r="S23" s="213"/>
      <c r="T23" s="213"/>
      <c r="U23" s="350" t="str">
        <f>IF(M23="","",M23*O23*Q23*0.034*$U$3)</f>
        <v/>
      </c>
      <c r="V23" s="350"/>
      <c r="W23" s="350" t="str">
        <f>IF(M23="","",IF(ISERROR(M23*O23*Q23*0.034*$W$3),"-",M23*O23*Q23*0.034*$W$3))</f>
        <v/>
      </c>
      <c r="X23" s="350"/>
      <c r="Y23" s="350" t="str">
        <f>IF(M23="","",M23*O23*AM23)</f>
        <v/>
      </c>
      <c r="Z23" s="351"/>
      <c r="AM23" s="76">
        <f>IF(共通条件・結果!$Z$6="８地域",Q23,IF(AN23="FALSE",Q23,IF(S23="風除室",1/((1/Q23)+0.1),0.5*Q23+0.5*(1/((1/Q23)+AN23)))))</f>
        <v>0</v>
      </c>
      <c r="AN23" s="78" t="str">
        <f>IF(S23="","FALSE",IF(S23="雨戸",0.1,IF(S23="ｼｬｯﾀｰ",0.1,IF(S23="障子",0.18,IF(S23="風除室",0.1)))))</f>
        <v>FALSE</v>
      </c>
    </row>
    <row r="24" spans="1:40" s="76" customFormat="1" ht="21.95" customHeight="1" thickBot="1">
      <c r="B24" s="80"/>
      <c r="C24" s="80"/>
      <c r="D24" s="80"/>
      <c r="E24" s="80"/>
      <c r="F24" s="80"/>
      <c r="G24" s="80"/>
      <c r="H24" s="80"/>
      <c r="I24" s="302" t="s">
        <v>172</v>
      </c>
      <c r="J24" s="303"/>
      <c r="K24" s="303"/>
      <c r="L24" s="303"/>
      <c r="M24" s="303"/>
      <c r="N24" s="303"/>
      <c r="O24" s="303"/>
      <c r="P24" s="303"/>
      <c r="Q24" s="303"/>
      <c r="R24" s="303"/>
      <c r="S24" s="303"/>
      <c r="T24" s="355"/>
      <c r="U24" s="304">
        <f>SUM(U22:V23)</f>
        <v>0</v>
      </c>
      <c r="V24" s="304"/>
      <c r="W24" s="304">
        <f>SUM(W22:X23)</f>
        <v>0</v>
      </c>
      <c r="X24" s="304"/>
      <c r="Y24" s="304">
        <f>SUM(Y22:Z23)</f>
        <v>0</v>
      </c>
      <c r="Z24" s="305"/>
      <c r="AN24" s="78"/>
    </row>
    <row r="25" spans="1:40" s="76" customFormat="1" ht="9.9499999999999993" customHeight="1">
      <c r="B25" s="80"/>
      <c r="C25" s="80"/>
      <c r="D25" s="80"/>
      <c r="E25" s="80"/>
      <c r="F25" s="80"/>
      <c r="G25" s="80"/>
      <c r="H25" s="80"/>
      <c r="I25" s="80"/>
      <c r="AN25" s="78"/>
    </row>
    <row r="26" spans="1:40" s="76" customFormat="1" ht="21.95" customHeight="1" thickBot="1">
      <c r="B26" s="80"/>
      <c r="C26" s="80"/>
      <c r="D26" s="80"/>
      <c r="E26" s="80"/>
      <c r="F26" s="80"/>
      <c r="G26" s="80"/>
      <c r="H26" s="80"/>
      <c r="I26" s="77" t="s">
        <v>17</v>
      </c>
      <c r="J26" s="77"/>
      <c r="K26" s="77"/>
      <c r="AN26" s="78"/>
    </row>
    <row r="27" spans="1:40" s="76" customFormat="1" ht="21.95" customHeight="1">
      <c r="B27" s="80"/>
      <c r="C27" s="80"/>
      <c r="D27" s="80"/>
      <c r="E27" s="80"/>
      <c r="F27" s="80"/>
      <c r="G27" s="80"/>
      <c r="H27" s="80"/>
      <c r="I27" s="352" t="s">
        <v>0</v>
      </c>
      <c r="J27" s="353"/>
      <c r="K27" s="363" t="s">
        <v>62</v>
      </c>
      <c r="L27" s="364"/>
      <c r="M27" s="363" t="s">
        <v>200</v>
      </c>
      <c r="N27" s="364"/>
      <c r="O27" s="339" t="s">
        <v>63</v>
      </c>
      <c r="P27" s="340"/>
      <c r="Q27" s="237" t="s">
        <v>7</v>
      </c>
      <c r="R27" s="237"/>
      <c r="S27" s="359" t="s">
        <v>180</v>
      </c>
      <c r="T27" s="360"/>
      <c r="U27" s="254" t="s">
        <v>88</v>
      </c>
      <c r="V27" s="237"/>
      <c r="W27" s="254" t="s">
        <v>87</v>
      </c>
      <c r="X27" s="237"/>
      <c r="Y27" s="237" t="s">
        <v>13</v>
      </c>
      <c r="Z27" s="256"/>
      <c r="AN27" s="78"/>
    </row>
    <row r="28" spans="1:40" s="76" customFormat="1" ht="21.95" customHeight="1" thickBot="1">
      <c r="B28" s="80"/>
      <c r="C28" s="80"/>
      <c r="D28" s="80"/>
      <c r="E28" s="80"/>
      <c r="F28" s="80"/>
      <c r="G28" s="80"/>
      <c r="H28" s="80"/>
      <c r="I28" s="354"/>
      <c r="J28" s="249"/>
      <c r="K28" s="252"/>
      <c r="L28" s="365"/>
      <c r="M28" s="252"/>
      <c r="N28" s="365"/>
      <c r="O28" s="341"/>
      <c r="P28" s="342"/>
      <c r="Q28" s="241"/>
      <c r="R28" s="241"/>
      <c r="S28" s="361"/>
      <c r="T28" s="362"/>
      <c r="U28" s="241"/>
      <c r="V28" s="241"/>
      <c r="W28" s="241"/>
      <c r="X28" s="241"/>
      <c r="Y28" s="241"/>
      <c r="Z28" s="258"/>
      <c r="AD28" s="76" t="s">
        <v>170</v>
      </c>
      <c r="AE28" s="76" t="s">
        <v>171</v>
      </c>
    </row>
    <row r="29" spans="1:40" s="76" customFormat="1" ht="21.95" customHeight="1">
      <c r="B29" s="80"/>
      <c r="C29" s="80"/>
      <c r="D29" s="80"/>
      <c r="E29" s="80"/>
      <c r="F29" s="80"/>
      <c r="G29" s="80"/>
      <c r="H29" s="80"/>
      <c r="I29" s="218"/>
      <c r="J29" s="219"/>
      <c r="K29" s="334"/>
      <c r="L29" s="335"/>
      <c r="M29" s="334"/>
      <c r="N29" s="335"/>
      <c r="O29" s="336" t="str">
        <f>IF(K29="","",K29-M29)</f>
        <v/>
      </c>
      <c r="P29" s="337"/>
      <c r="Q29" s="338"/>
      <c r="R29" s="338"/>
      <c r="S29" s="338"/>
      <c r="T29" s="338"/>
      <c r="U29" s="205" t="str">
        <f>IF(O29="","",IF(AC29=TRUE,0,O29*Q29*0.034*$U$3))</f>
        <v/>
      </c>
      <c r="V29" s="205"/>
      <c r="W29" s="226" t="str">
        <f>IF(O29="","",IF(ISERROR(O29*Q29*0.034*$W$3),"-",IF(AC29=TRUE,0,O29*Q29*0.034*$W$3)))</f>
        <v/>
      </c>
      <c r="X29" s="227"/>
      <c r="Y29" s="270" t="str">
        <f>IF(Q29="","",IF(AC29=TRUE,0.7*Q29*O29,Q29*O29))</f>
        <v/>
      </c>
      <c r="Z29" s="276"/>
      <c r="AC29" s="79" t="b">
        <v>0</v>
      </c>
      <c r="AD29" s="79">
        <f>IF(AC29=TRUE,0.7,1)</f>
        <v>1</v>
      </c>
      <c r="AE29" s="79" t="str">
        <f>IF(AC29=TRUE,0,"セル")</f>
        <v>セル</v>
      </c>
    </row>
    <row r="30" spans="1:40" s="76" customFormat="1" ht="21.95" customHeight="1">
      <c r="B30" s="80"/>
      <c r="C30" s="80"/>
      <c r="D30" s="80"/>
      <c r="E30" s="80"/>
      <c r="F30" s="80"/>
      <c r="G30" s="80"/>
      <c r="H30" s="80"/>
      <c r="I30" s="216"/>
      <c r="J30" s="217"/>
      <c r="K30" s="332"/>
      <c r="L30" s="333"/>
      <c r="M30" s="332"/>
      <c r="N30" s="333"/>
      <c r="O30" s="330" t="str">
        <f>IF(K30="","",K30-M30)</f>
        <v/>
      </c>
      <c r="P30" s="331"/>
      <c r="Q30" s="212"/>
      <c r="R30" s="212"/>
      <c r="S30" s="212"/>
      <c r="T30" s="212"/>
      <c r="U30" s="205" t="str">
        <f>IF(O30="","",IF(AC30=TRUE,0,O30*Q30*0.034*$U$3))</f>
        <v/>
      </c>
      <c r="V30" s="205"/>
      <c r="W30" s="226" t="str">
        <f>IF(O30="","",IF(ISERROR(O30*Q30*0.034*$W$3),"-",IF(AC30=TRUE,0,O30*Q30*0.034*$W$3)))</f>
        <v/>
      </c>
      <c r="X30" s="227"/>
      <c r="Y30" s="205" t="str">
        <f>IF(Q30="","",IF(AC30=TRUE,0.7*Q30*O30,Q30*O30))</f>
        <v/>
      </c>
      <c r="Z30" s="206"/>
      <c r="AC30" s="79" t="b">
        <v>0</v>
      </c>
      <c r="AD30" s="79">
        <f>IF(AC30=TRUE,0.7,1)</f>
        <v>1</v>
      </c>
      <c r="AE30" s="79" t="str">
        <f>IF(AC30=TRUE,0,"セル")</f>
        <v>セル</v>
      </c>
    </row>
    <row r="31" spans="1:40" s="76" customFormat="1" ht="21.95" customHeight="1" thickBot="1">
      <c r="I31" s="214"/>
      <c r="J31" s="215"/>
      <c r="K31" s="345"/>
      <c r="L31" s="346"/>
      <c r="M31" s="345"/>
      <c r="N31" s="346"/>
      <c r="O31" s="347" t="str">
        <f>IF(K31="","",K31-M31)</f>
        <v/>
      </c>
      <c r="P31" s="348"/>
      <c r="Q31" s="349"/>
      <c r="R31" s="349"/>
      <c r="S31" s="349"/>
      <c r="T31" s="349"/>
      <c r="U31" s="300" t="str">
        <f>IF(O31="","",IF(AC31=TRUE,0,O31*Q31*0.034*$U$3))</f>
        <v/>
      </c>
      <c r="V31" s="300"/>
      <c r="W31" s="343" t="str">
        <f>IF(O31="","",IF(ISERROR(O31*Q31*0.034*$W$3),"-",IF(AC31=TRUE,0,O31*Q31*0.034*$W$3)))</f>
        <v/>
      </c>
      <c r="X31" s="344"/>
      <c r="Y31" s="300" t="str">
        <f>IF(Q31="","",IF(AC31=TRUE,0.7*Q31*O31,Q31*O31))</f>
        <v/>
      </c>
      <c r="Z31" s="301"/>
      <c r="AC31" s="79" t="b">
        <v>0</v>
      </c>
      <c r="AD31" s="79">
        <f>IF(AC31=TRUE,0.7,1)</f>
        <v>1</v>
      </c>
      <c r="AE31" s="79" t="str">
        <f>IF(AC31=TRUE,0,"セル")</f>
        <v>セル</v>
      </c>
    </row>
    <row r="32" spans="1:40" s="76" customFormat="1" ht="21.95" customHeight="1" thickBot="1">
      <c r="I32" s="302" t="s">
        <v>98</v>
      </c>
      <c r="J32" s="303"/>
      <c r="K32" s="303"/>
      <c r="L32" s="303"/>
      <c r="M32" s="303"/>
      <c r="N32" s="303"/>
      <c r="O32" s="303"/>
      <c r="P32" s="303"/>
      <c r="Q32" s="303"/>
      <c r="R32" s="303"/>
      <c r="S32" s="303"/>
      <c r="T32" s="355"/>
      <c r="U32" s="304">
        <f>SUM(U29:V31)</f>
        <v>0</v>
      </c>
      <c r="V32" s="304"/>
      <c r="W32" s="304">
        <f>SUM(W29:X31)</f>
        <v>0</v>
      </c>
      <c r="X32" s="304"/>
      <c r="Y32" s="304">
        <f>SUM(Y29:Z31)</f>
        <v>0</v>
      </c>
      <c r="Z32" s="305"/>
    </row>
    <row r="33" spans="1:26" s="76" customFormat="1" ht="9.9499999999999993" customHeight="1"/>
    <row r="34" spans="1:26" s="76" customFormat="1" ht="21.95" customHeight="1" thickBot="1">
      <c r="A34" s="77" t="s">
        <v>146</v>
      </c>
    </row>
    <row r="35" spans="1:26" s="76" customFormat="1" ht="21.95" customHeight="1">
      <c r="A35" s="309" t="s">
        <v>99</v>
      </c>
      <c r="B35" s="310"/>
      <c r="C35" s="323" t="s">
        <v>65</v>
      </c>
      <c r="D35" s="324"/>
      <c r="E35" s="324"/>
      <c r="F35" s="324"/>
      <c r="G35" s="324"/>
      <c r="H35" s="324"/>
      <c r="I35" s="325"/>
      <c r="J35" s="81"/>
      <c r="K35" s="319">
        <f>P35+T35+X35</f>
        <v>0</v>
      </c>
      <c r="L35" s="319"/>
      <c r="M35" s="319"/>
      <c r="N35" s="81" t="s">
        <v>24</v>
      </c>
      <c r="O35" s="82" t="s">
        <v>23</v>
      </c>
      <c r="P35" s="320">
        <f>C7*E7+C8*E8+C9*E9+C10*E10+C11*E11+C12*E12+C13*E13+C14*E14+C15*E15+C16*E16</f>
        <v>0</v>
      </c>
      <c r="Q35" s="320"/>
      <c r="R35" s="83" t="s">
        <v>25</v>
      </c>
      <c r="S35" s="83" t="s">
        <v>22</v>
      </c>
      <c r="T35" s="321">
        <f>M22*O22+M23*O23</f>
        <v>0</v>
      </c>
      <c r="U35" s="321"/>
      <c r="V35" s="83" t="s">
        <v>25</v>
      </c>
      <c r="W35" s="83" t="s">
        <v>1</v>
      </c>
      <c r="X35" s="322">
        <f>SUM(O29:P31)</f>
        <v>0</v>
      </c>
      <c r="Y35" s="322"/>
      <c r="Z35" s="84" t="s">
        <v>19</v>
      </c>
    </row>
    <row r="36" spans="1:26" s="76" customFormat="1" ht="21.95" customHeight="1">
      <c r="A36" s="311"/>
      <c r="B36" s="312"/>
      <c r="C36" s="315" t="s">
        <v>92</v>
      </c>
      <c r="D36" s="316"/>
      <c r="E36" s="316"/>
      <c r="F36" s="316"/>
      <c r="G36" s="316"/>
      <c r="H36" s="316"/>
      <c r="I36" s="317"/>
      <c r="J36" s="85"/>
      <c r="K36" s="85"/>
      <c r="L36" s="85"/>
      <c r="M36" s="85"/>
      <c r="N36" s="85"/>
      <c r="O36" s="85"/>
      <c r="P36" s="85"/>
      <c r="Q36" s="85"/>
      <c r="R36" s="85"/>
      <c r="S36" s="85"/>
      <c r="T36" s="85"/>
      <c r="U36" s="85"/>
      <c r="V36" s="318">
        <f>U17+U24+U32</f>
        <v>0</v>
      </c>
      <c r="W36" s="318"/>
      <c r="X36" s="318"/>
      <c r="Y36" s="85"/>
      <c r="Z36" s="86"/>
    </row>
    <row r="37" spans="1:26" s="76" customFormat="1" ht="21.95" customHeight="1">
      <c r="A37" s="311"/>
      <c r="B37" s="312"/>
      <c r="C37" s="315" t="s">
        <v>93</v>
      </c>
      <c r="D37" s="316"/>
      <c r="E37" s="316"/>
      <c r="F37" s="316"/>
      <c r="G37" s="316"/>
      <c r="H37" s="316"/>
      <c r="I37" s="317"/>
      <c r="J37" s="85"/>
      <c r="K37" s="85"/>
      <c r="L37" s="85"/>
      <c r="M37" s="85"/>
      <c r="N37" s="85"/>
      <c r="O37" s="85"/>
      <c r="P37" s="85"/>
      <c r="Q37" s="85"/>
      <c r="R37" s="85"/>
      <c r="S37" s="85"/>
      <c r="T37" s="85"/>
      <c r="U37" s="85"/>
      <c r="V37" s="318">
        <f>W17+W24+W32</f>
        <v>0</v>
      </c>
      <c r="W37" s="318"/>
      <c r="X37" s="318"/>
      <c r="Y37" s="85"/>
      <c r="Z37" s="86"/>
    </row>
    <row r="38" spans="1:26" s="76" customFormat="1" ht="21.95" customHeight="1" thickBot="1">
      <c r="A38" s="313"/>
      <c r="B38" s="314"/>
      <c r="C38" s="326" t="s">
        <v>20</v>
      </c>
      <c r="D38" s="327"/>
      <c r="E38" s="327"/>
      <c r="F38" s="327"/>
      <c r="G38" s="327"/>
      <c r="H38" s="327"/>
      <c r="I38" s="328"/>
      <c r="J38" s="87"/>
      <c r="K38" s="87"/>
      <c r="L38" s="87"/>
      <c r="M38" s="87"/>
      <c r="N38" s="87"/>
      <c r="O38" s="87"/>
      <c r="P38" s="87"/>
      <c r="Q38" s="87"/>
      <c r="R38" s="87"/>
      <c r="S38" s="87"/>
      <c r="T38" s="87"/>
      <c r="U38" s="87"/>
      <c r="V38" s="329">
        <f>Y17+Y24+Y32</f>
        <v>0</v>
      </c>
      <c r="W38" s="329"/>
      <c r="X38" s="329"/>
      <c r="Y38" s="88" t="s">
        <v>21</v>
      </c>
      <c r="Z38" s="89"/>
    </row>
    <row r="39" spans="1:26" s="76" customFormat="1" ht="21.95" customHeight="1"/>
    <row r="40" spans="1:26" s="76" customFormat="1" ht="21.95" customHeight="1"/>
    <row r="41" spans="1:26" s="76" customFormat="1" ht="21.95" customHeight="1"/>
    <row r="42" spans="1:26" s="76" customFormat="1" ht="21.95" customHeight="1"/>
    <row r="43" spans="1:26" s="76" customFormat="1" ht="21.95" customHeight="1"/>
    <row r="44" spans="1:26" s="76" customFormat="1" ht="21.95" customHeight="1"/>
    <row r="45" spans="1:26" s="76" customFormat="1" ht="21.95" customHeight="1"/>
    <row r="46" spans="1:26" s="76" customFormat="1" ht="21.95" customHeight="1"/>
    <row r="47" spans="1:26" s="76" customFormat="1" ht="21.95" customHeight="1"/>
    <row r="48" spans="1:26" s="76" customFormat="1" ht="21.95" customHeight="1"/>
    <row r="49" s="76" customFormat="1" ht="21.95" customHeight="1"/>
    <row r="50" s="76" customFormat="1" ht="21.95" customHeight="1"/>
    <row r="51" s="76" customFormat="1" ht="21.95" customHeight="1"/>
    <row r="52" s="76" customFormat="1" ht="21.95" customHeight="1"/>
    <row r="53" s="76" customFormat="1" ht="21.95" customHeight="1"/>
    <row r="54" s="76" customFormat="1" ht="21.95" customHeight="1"/>
    <row r="55" s="76" customFormat="1" ht="24.95" customHeight="1"/>
    <row r="56" s="76" customFormat="1" ht="24.95" customHeight="1"/>
    <row r="57" s="76" customFormat="1" ht="24.95" customHeight="1"/>
    <row r="58" s="76" customFormat="1" ht="24.95" customHeight="1"/>
    <row r="59" s="76" customFormat="1" ht="24.95" customHeight="1"/>
    <row r="60" s="76" customFormat="1" ht="24.95" customHeight="1"/>
    <row r="61" s="76" customFormat="1" ht="24.95" customHeight="1"/>
    <row r="62" s="76" customFormat="1" ht="24.95" customHeight="1"/>
    <row r="63" s="76" customFormat="1" ht="24.95" customHeight="1"/>
    <row r="64" s="76" customFormat="1" ht="24.95" customHeight="1"/>
    <row r="65" s="76" customFormat="1" ht="24.95" customHeight="1"/>
    <row r="66" s="76" customFormat="1" ht="24.95" customHeight="1"/>
    <row r="67" s="76" customFormat="1" ht="24.95" customHeight="1"/>
    <row r="68" s="76" customFormat="1" ht="24.95" customHeight="1"/>
    <row r="69" s="76" customFormat="1" ht="24.95" customHeight="1"/>
    <row r="70" s="76" customFormat="1" ht="24.95" customHeight="1"/>
    <row r="71" s="76" customFormat="1" ht="24.95" customHeight="1"/>
    <row r="72" s="76" customFormat="1" ht="24.95" customHeight="1"/>
    <row r="73" s="76" customFormat="1" ht="24.95" customHeight="1"/>
    <row r="74" s="76" customFormat="1" ht="24.95" customHeight="1"/>
    <row r="75" s="76" customFormat="1" ht="24.95" customHeight="1"/>
    <row r="76" s="76" customFormat="1" ht="24.95" customHeight="1"/>
    <row r="77" s="76" customFormat="1" ht="24.95" customHeight="1"/>
    <row r="78" s="76" customFormat="1" ht="24.95" customHeight="1"/>
    <row r="79" s="76" customFormat="1" ht="24.95" customHeight="1"/>
    <row r="80" s="76" customFormat="1" ht="24.95" customHeight="1"/>
    <row r="81" s="76" customFormat="1" ht="24.95" customHeight="1"/>
    <row r="82" s="76" customFormat="1" ht="24.95" customHeight="1"/>
    <row r="83" s="76" customFormat="1" ht="24.95" customHeight="1"/>
    <row r="84" s="76" customFormat="1" ht="24.95" customHeight="1"/>
    <row r="85" s="76" customFormat="1" ht="24.95" customHeight="1"/>
    <row r="86" s="76" customFormat="1" ht="24.95" customHeight="1"/>
    <row r="87" s="76" customFormat="1" ht="24.95" customHeight="1"/>
    <row r="88" s="90" customFormat="1" ht="24.95" customHeight="1"/>
    <row r="89" s="90" customFormat="1" ht="24.95" customHeight="1"/>
    <row r="90" ht="24.95" customHeight="1"/>
    <row r="91" ht="24.95" customHeight="1"/>
    <row r="92" ht="24.95" customHeight="1"/>
    <row r="93" ht="24.95" customHeight="1"/>
    <row r="94" ht="24.95" customHeight="1"/>
    <row r="95" ht="24.95" customHeight="1"/>
    <row r="96" ht="24.95" customHeight="1"/>
    <row r="97" ht="24.95" customHeight="1"/>
    <row r="98" ht="24.95" customHeight="1"/>
    <row r="99" ht="24.95" customHeight="1"/>
    <row r="100" ht="24.95" customHeight="1"/>
  </sheetData>
  <sheetProtection sheet="1" objects="1" scenarios="1"/>
  <mergeCells count="241">
    <mergeCell ref="I27:J28"/>
    <mergeCell ref="I32:T32"/>
    <mergeCell ref="I20:L21"/>
    <mergeCell ref="I22:L22"/>
    <mergeCell ref="I23:L23"/>
    <mergeCell ref="I24:T24"/>
    <mergeCell ref="Q30:R30"/>
    <mergeCell ref="K31:L31"/>
    <mergeCell ref="Q27:R28"/>
    <mergeCell ref="S27:T28"/>
    <mergeCell ref="M23:N23"/>
    <mergeCell ref="K27:L28"/>
    <mergeCell ref="M27:N28"/>
    <mergeCell ref="S31:T31"/>
    <mergeCell ref="Q20:R21"/>
    <mergeCell ref="S20:T21"/>
    <mergeCell ref="Y23:Z23"/>
    <mergeCell ref="U24:V24"/>
    <mergeCell ref="W24:X24"/>
    <mergeCell ref="Y24:Z24"/>
    <mergeCell ref="O22:P22"/>
    <mergeCell ref="Q22:R22"/>
    <mergeCell ref="S22:T22"/>
    <mergeCell ref="U22:V22"/>
    <mergeCell ref="W22:X22"/>
    <mergeCell ref="Y22:Z22"/>
    <mergeCell ref="U31:V31"/>
    <mergeCell ref="W31:X31"/>
    <mergeCell ref="M30:N30"/>
    <mergeCell ref="M31:N31"/>
    <mergeCell ref="O31:P31"/>
    <mergeCell ref="Q31:R31"/>
    <mergeCell ref="W27:X28"/>
    <mergeCell ref="O23:P23"/>
    <mergeCell ref="Q23:R23"/>
    <mergeCell ref="S23:T23"/>
    <mergeCell ref="U23:V23"/>
    <mergeCell ref="W23:X23"/>
    <mergeCell ref="AM5:AN5"/>
    <mergeCell ref="C36:I36"/>
    <mergeCell ref="V36:X36"/>
    <mergeCell ref="W30:X30"/>
    <mergeCell ref="Y30:Z30"/>
    <mergeCell ref="Y31:Z31"/>
    <mergeCell ref="U32:V32"/>
    <mergeCell ref="O30:P30"/>
    <mergeCell ref="U27:V28"/>
    <mergeCell ref="S30:T30"/>
    <mergeCell ref="U30:V30"/>
    <mergeCell ref="K30:L30"/>
    <mergeCell ref="Y27:Z28"/>
    <mergeCell ref="K29:L29"/>
    <mergeCell ref="M29:N29"/>
    <mergeCell ref="O29:P29"/>
    <mergeCell ref="Q29:R29"/>
    <mergeCell ref="S29:T29"/>
    <mergeCell ref="U29:V29"/>
    <mergeCell ref="W29:X29"/>
    <mergeCell ref="Y29:Z29"/>
    <mergeCell ref="O27:P28"/>
    <mergeCell ref="AM18:AN18"/>
    <mergeCell ref="AM20:AN20"/>
    <mergeCell ref="A35:B38"/>
    <mergeCell ref="W32:X32"/>
    <mergeCell ref="Y32:Z32"/>
    <mergeCell ref="C37:I37"/>
    <mergeCell ref="V37:X37"/>
    <mergeCell ref="K35:M35"/>
    <mergeCell ref="P35:Q35"/>
    <mergeCell ref="T35:U35"/>
    <mergeCell ref="X35:Y35"/>
    <mergeCell ref="C35:I35"/>
    <mergeCell ref="C38:I38"/>
    <mergeCell ref="V38:X38"/>
    <mergeCell ref="U20:V21"/>
    <mergeCell ref="W20:X21"/>
    <mergeCell ref="Y20:Z21"/>
    <mergeCell ref="M21:N21"/>
    <mergeCell ref="O21:P21"/>
    <mergeCell ref="M22:N22"/>
    <mergeCell ref="M20:P20"/>
    <mergeCell ref="W14:X14"/>
    <mergeCell ref="S15:T15"/>
    <mergeCell ref="U15:V15"/>
    <mergeCell ref="W15:X15"/>
    <mergeCell ref="M15:N15"/>
    <mergeCell ref="O15:P15"/>
    <mergeCell ref="Q15:R15"/>
    <mergeCell ref="O14:P14"/>
    <mergeCell ref="Q14:R14"/>
    <mergeCell ref="W16:X16"/>
    <mergeCell ref="Y16:Z16"/>
    <mergeCell ref="A17:T17"/>
    <mergeCell ref="U17:V17"/>
    <mergeCell ref="W17:X17"/>
    <mergeCell ref="Y17:Z17"/>
    <mergeCell ref="A16:B16"/>
    <mergeCell ref="C16:D16"/>
    <mergeCell ref="K15:L15"/>
    <mergeCell ref="S14:T14"/>
    <mergeCell ref="U14:V14"/>
    <mergeCell ref="M16:N16"/>
    <mergeCell ref="O16:P16"/>
    <mergeCell ref="Q16:R16"/>
    <mergeCell ref="S16:T16"/>
    <mergeCell ref="U16:V16"/>
    <mergeCell ref="E15:F15"/>
    <mergeCell ref="G16:H16"/>
    <mergeCell ref="I16:J16"/>
    <mergeCell ref="E16:F16"/>
    <mergeCell ref="K16:L16"/>
    <mergeCell ref="A13:B13"/>
    <mergeCell ref="C13:D13"/>
    <mergeCell ref="W12:X12"/>
    <mergeCell ref="Q13:R13"/>
    <mergeCell ref="Y15:Z15"/>
    <mergeCell ref="A14:B14"/>
    <mergeCell ref="C14:D14"/>
    <mergeCell ref="E14:F14"/>
    <mergeCell ref="G14:H14"/>
    <mergeCell ref="I14:J14"/>
    <mergeCell ref="Y14:Z14"/>
    <mergeCell ref="A15:B15"/>
    <mergeCell ref="C15:D15"/>
    <mergeCell ref="E13:F13"/>
    <mergeCell ref="G13:H13"/>
    <mergeCell ref="I13:J13"/>
    <mergeCell ref="K13:L13"/>
    <mergeCell ref="M13:N13"/>
    <mergeCell ref="O13:P13"/>
    <mergeCell ref="Y13:Z13"/>
    <mergeCell ref="K14:L14"/>
    <mergeCell ref="M14:N14"/>
    <mergeCell ref="G15:H15"/>
    <mergeCell ref="I15:J15"/>
    <mergeCell ref="W11:X11"/>
    <mergeCell ref="A12:B12"/>
    <mergeCell ref="C12:D12"/>
    <mergeCell ref="E12:F12"/>
    <mergeCell ref="O12:P12"/>
    <mergeCell ref="Q12:R12"/>
    <mergeCell ref="G12:H12"/>
    <mergeCell ref="Y12:Z12"/>
    <mergeCell ref="Y9:Z9"/>
    <mergeCell ref="A10:B10"/>
    <mergeCell ref="C10:D10"/>
    <mergeCell ref="E10:F10"/>
    <mergeCell ref="G10:H10"/>
    <mergeCell ref="I10:J10"/>
    <mergeCell ref="K10:L10"/>
    <mergeCell ref="O10:P10"/>
    <mergeCell ref="Q10:R10"/>
    <mergeCell ref="M9:N9"/>
    <mergeCell ref="A9:B9"/>
    <mergeCell ref="C9:D9"/>
    <mergeCell ref="E9:F9"/>
    <mergeCell ref="G9:H9"/>
    <mergeCell ref="I9:J9"/>
    <mergeCell ref="K9:L9"/>
    <mergeCell ref="Y8:Z8"/>
    <mergeCell ref="Y7:Z7"/>
    <mergeCell ref="A7:B7"/>
    <mergeCell ref="C7:D7"/>
    <mergeCell ref="E7:F7"/>
    <mergeCell ref="G7:H7"/>
    <mergeCell ref="I7:J7"/>
    <mergeCell ref="K7:L7"/>
    <mergeCell ref="A8:B8"/>
    <mergeCell ref="C8:D8"/>
    <mergeCell ref="M8:N8"/>
    <mergeCell ref="O8:P8"/>
    <mergeCell ref="Q8:R8"/>
    <mergeCell ref="E8:F8"/>
    <mergeCell ref="G8:H8"/>
    <mergeCell ref="I8:J8"/>
    <mergeCell ref="K8:L8"/>
    <mergeCell ref="S8:T8"/>
    <mergeCell ref="U8:V8"/>
    <mergeCell ref="W8:X8"/>
    <mergeCell ref="AC5:AD5"/>
    <mergeCell ref="AG5:AH5"/>
    <mergeCell ref="M7:N7"/>
    <mergeCell ref="AJ5:AK5"/>
    <mergeCell ref="O6:P6"/>
    <mergeCell ref="Q6:R6"/>
    <mergeCell ref="S6:T6"/>
    <mergeCell ref="U4:V6"/>
    <mergeCell ref="U7:V7"/>
    <mergeCell ref="W7:X7"/>
    <mergeCell ref="O7:P7"/>
    <mergeCell ref="Q7:R7"/>
    <mergeCell ref="S7:T7"/>
    <mergeCell ref="A1:Z1"/>
    <mergeCell ref="Q3:T3"/>
    <mergeCell ref="U3:V3"/>
    <mergeCell ref="W3:X3"/>
    <mergeCell ref="A4:B6"/>
    <mergeCell ref="C4:F4"/>
    <mergeCell ref="G4:H6"/>
    <mergeCell ref="C5:D6"/>
    <mergeCell ref="E5:F6"/>
    <mergeCell ref="M5:N6"/>
    <mergeCell ref="W4:X6"/>
    <mergeCell ref="Y4:Z6"/>
    <mergeCell ref="O5:T5"/>
    <mergeCell ref="I4:J6"/>
    <mergeCell ref="K4:L6"/>
    <mergeCell ref="M4:T4"/>
    <mergeCell ref="Q9:R9"/>
    <mergeCell ref="S9:T9"/>
    <mergeCell ref="U9:V9"/>
    <mergeCell ref="M10:N10"/>
    <mergeCell ref="O9:P9"/>
    <mergeCell ref="S10:T10"/>
    <mergeCell ref="U10:V10"/>
    <mergeCell ref="W10:X10"/>
    <mergeCell ref="W9:X9"/>
    <mergeCell ref="Y11:Z11"/>
    <mergeCell ref="Y10:Z10"/>
    <mergeCell ref="A11:B11"/>
    <mergeCell ref="C11:D11"/>
    <mergeCell ref="E11:F11"/>
    <mergeCell ref="G11:H11"/>
    <mergeCell ref="I11:J11"/>
    <mergeCell ref="K11:L11"/>
    <mergeCell ref="I31:J31"/>
    <mergeCell ref="I30:J30"/>
    <mergeCell ref="I29:J29"/>
    <mergeCell ref="M11:N11"/>
    <mergeCell ref="O11:P11"/>
    <mergeCell ref="Q11:R11"/>
    <mergeCell ref="S12:T12"/>
    <mergeCell ref="U12:V12"/>
    <mergeCell ref="S11:T11"/>
    <mergeCell ref="I12:J12"/>
    <mergeCell ref="K12:L12"/>
    <mergeCell ref="M12:N12"/>
    <mergeCell ref="U11:V11"/>
    <mergeCell ref="S13:T13"/>
    <mergeCell ref="U13:V13"/>
    <mergeCell ref="W13:X13"/>
  </mergeCells>
  <phoneticPr fontId="2"/>
  <conditionalFormatting sqref="U17:V17">
    <cfRule type="expression" dxfId="239" priority="54" stopIfTrue="1">
      <formula>$U$17=0</formula>
    </cfRule>
  </conditionalFormatting>
  <conditionalFormatting sqref="W17:X17">
    <cfRule type="expression" dxfId="238" priority="53" stopIfTrue="1">
      <formula>$W$17=0</formula>
    </cfRule>
  </conditionalFormatting>
  <conditionalFormatting sqref="Y17:Z17">
    <cfRule type="expression" dxfId="237" priority="52" stopIfTrue="1">
      <formula>$Y$17=0</formula>
    </cfRule>
  </conditionalFormatting>
  <conditionalFormatting sqref="U24:V24">
    <cfRule type="expression" dxfId="236" priority="51" stopIfTrue="1">
      <formula>$U$24:$V$24=0</formula>
    </cfRule>
  </conditionalFormatting>
  <conditionalFormatting sqref="U32:V32">
    <cfRule type="expression" dxfId="235" priority="50" stopIfTrue="1">
      <formula>$U$32:$V$32=0</formula>
    </cfRule>
  </conditionalFormatting>
  <conditionalFormatting sqref="X35:Y35">
    <cfRule type="expression" dxfId="234" priority="49" stopIfTrue="1">
      <formula>$X$35=0</formula>
    </cfRule>
  </conditionalFormatting>
  <conditionalFormatting sqref="P35:Q35">
    <cfRule type="expression" dxfId="233" priority="48" stopIfTrue="1">
      <formula>$P$35=0</formula>
    </cfRule>
  </conditionalFormatting>
  <conditionalFormatting sqref="T35:U35">
    <cfRule type="expression" dxfId="232" priority="47" stopIfTrue="1">
      <formula>$T$35=0</formula>
    </cfRule>
  </conditionalFormatting>
  <conditionalFormatting sqref="K35:M35">
    <cfRule type="expression" dxfId="231" priority="46" stopIfTrue="1">
      <formula>$K$35=0</formula>
    </cfRule>
  </conditionalFormatting>
  <conditionalFormatting sqref="W7:X7">
    <cfRule type="expression" dxfId="230" priority="44" stopIfTrue="1">
      <formula>#VALUE!</formula>
    </cfRule>
    <cfRule type="expression" dxfId="229" priority="45" stopIfTrue="1">
      <formula>#VALUE!</formula>
    </cfRule>
  </conditionalFormatting>
  <conditionalFormatting sqref="W16:X16">
    <cfRule type="expression" dxfId="228" priority="43" stopIfTrue="1">
      <formula>#VALUE!</formula>
    </cfRule>
  </conditionalFormatting>
  <conditionalFormatting sqref="W24:X24">
    <cfRule type="expression" dxfId="227" priority="16" stopIfTrue="1">
      <formula>$W$24:$X$24=0</formula>
    </cfRule>
  </conditionalFormatting>
  <conditionalFormatting sqref="Y24:Z24">
    <cfRule type="expression" dxfId="226" priority="15" stopIfTrue="1">
      <formula>$Y$24:$Z$24=0</formula>
    </cfRule>
  </conditionalFormatting>
  <conditionalFormatting sqref="W32:X32">
    <cfRule type="expression" dxfId="225" priority="14" stopIfTrue="1">
      <formula>$W$32:$X$32=0</formula>
    </cfRule>
  </conditionalFormatting>
  <conditionalFormatting sqref="Y32:Z32">
    <cfRule type="expression" dxfId="224" priority="13" stopIfTrue="1">
      <formula>$Y$32:$Z$32=0</formula>
    </cfRule>
  </conditionalFormatting>
  <conditionalFormatting sqref="O7:T7">
    <cfRule type="expression" dxfId="223" priority="10" stopIfTrue="1">
      <formula>$AF$7=TRUE</formula>
    </cfRule>
  </conditionalFormatting>
  <conditionalFormatting sqref="O12:T12">
    <cfRule type="expression" dxfId="222" priority="9" stopIfTrue="1">
      <formula>$AF$12=TRUE</formula>
    </cfRule>
  </conditionalFormatting>
  <conditionalFormatting sqref="O13:T13">
    <cfRule type="expression" dxfId="221" priority="8" stopIfTrue="1">
      <formula>$AF$13=TRUE</formula>
    </cfRule>
  </conditionalFormatting>
  <conditionalFormatting sqref="O14:T14">
    <cfRule type="expression" dxfId="220" priority="7" stopIfTrue="1">
      <formula>$AF$14=TRUE</formula>
    </cfRule>
  </conditionalFormatting>
  <conditionalFormatting sqref="O15:T15">
    <cfRule type="expression" dxfId="219" priority="6" stopIfTrue="1">
      <formula>$AF$15=TRUE</formula>
    </cfRule>
  </conditionalFormatting>
  <conditionalFormatting sqref="O16:T16">
    <cfRule type="expression" dxfId="218" priority="5" stopIfTrue="1">
      <formula>$AF$16=TRUE</formula>
    </cfRule>
  </conditionalFormatting>
  <conditionalFormatting sqref="O9:T9">
    <cfRule type="expression" dxfId="217" priority="4" stopIfTrue="1">
      <formula>$AF$9=TRUE</formula>
    </cfRule>
  </conditionalFormatting>
  <conditionalFormatting sqref="O10:T10">
    <cfRule type="expression" dxfId="216" priority="3" stopIfTrue="1">
      <formula>$AF$10=TRUE</formula>
    </cfRule>
  </conditionalFormatting>
  <conditionalFormatting sqref="O11:T11">
    <cfRule type="expression" dxfId="215" priority="2" stopIfTrue="1">
      <formula>$AF$11=TRUE</formula>
    </cfRule>
  </conditionalFormatting>
  <conditionalFormatting sqref="O8:T8">
    <cfRule type="expression" dxfId="214" priority="1" stopIfTrue="1">
      <formula>$AF$8=TRUE</formula>
    </cfRule>
  </conditionalFormatting>
  <dataValidations count="1">
    <dataValidation type="list" allowBlank="1" showInputMessage="1" showErrorMessage="1" sqref="S22:T23 K7:L16">
      <formula1>"　,雨戸,ｼｬｯﾀｰ,障子,風除室"</formula1>
    </dataValidation>
  </dataValidations>
  <pageMargins left="0.59055118110236227" right="0.39370078740157483" top="0.98425196850393704" bottom="0.78740157480314965" header="0.31496062992125984" footer="0.39370078740157483"/>
  <pageSetup paperSize="9" scale="90" orientation="portrait" horizontalDpi="300" verticalDpi="300" r:id="rId1"/>
  <headerFooter>
    <oddHeader>&amp;Rver. 1.3 (excel2007)[H28]</oddHeader>
    <oddFooter>&amp;Cⓒ　2013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4993" r:id="rId4" name="Check Box 1">
              <controlPr defaultSize="0" autoFill="0" autoLine="0" autoPict="0">
                <anchor moveWithCells="1">
                  <from>
                    <xdr:col>12</xdr:col>
                    <xdr:colOff>190500</xdr:colOff>
                    <xdr:row>6</xdr:row>
                    <xdr:rowOff>47625</xdr:rowOff>
                  </from>
                  <to>
                    <xdr:col>13</xdr:col>
                    <xdr:colOff>200025</xdr:colOff>
                    <xdr:row>6</xdr:row>
                    <xdr:rowOff>257175</xdr:rowOff>
                  </to>
                </anchor>
              </controlPr>
            </control>
          </mc:Choice>
        </mc:AlternateContent>
        <mc:AlternateContent xmlns:mc="http://schemas.openxmlformats.org/markup-compatibility/2006">
          <mc:Choice Requires="x14">
            <control shapeId="84994" r:id="rId5" name="Check Box 2">
              <controlPr defaultSize="0" autoFill="0" autoLine="0" autoPict="0">
                <anchor moveWithCells="1">
                  <from>
                    <xdr:col>12</xdr:col>
                    <xdr:colOff>190500</xdr:colOff>
                    <xdr:row>7</xdr:row>
                    <xdr:rowOff>47625</xdr:rowOff>
                  </from>
                  <to>
                    <xdr:col>13</xdr:col>
                    <xdr:colOff>200025</xdr:colOff>
                    <xdr:row>7</xdr:row>
                    <xdr:rowOff>257175</xdr:rowOff>
                  </to>
                </anchor>
              </controlPr>
            </control>
          </mc:Choice>
        </mc:AlternateContent>
        <mc:AlternateContent xmlns:mc="http://schemas.openxmlformats.org/markup-compatibility/2006">
          <mc:Choice Requires="x14">
            <control shapeId="84995" r:id="rId6" name="Check Box 3">
              <controlPr defaultSize="0" autoFill="0" autoLine="0" autoPict="0">
                <anchor moveWithCells="1">
                  <from>
                    <xdr:col>12</xdr:col>
                    <xdr:colOff>190500</xdr:colOff>
                    <xdr:row>11</xdr:row>
                    <xdr:rowOff>47625</xdr:rowOff>
                  </from>
                  <to>
                    <xdr:col>13</xdr:col>
                    <xdr:colOff>200025</xdr:colOff>
                    <xdr:row>11</xdr:row>
                    <xdr:rowOff>257175</xdr:rowOff>
                  </to>
                </anchor>
              </controlPr>
            </control>
          </mc:Choice>
        </mc:AlternateContent>
        <mc:AlternateContent xmlns:mc="http://schemas.openxmlformats.org/markup-compatibility/2006">
          <mc:Choice Requires="x14">
            <control shapeId="84996" r:id="rId7" name="Check Box 4">
              <controlPr defaultSize="0" autoFill="0" autoLine="0" autoPict="0">
                <anchor moveWithCells="1">
                  <from>
                    <xdr:col>12</xdr:col>
                    <xdr:colOff>190500</xdr:colOff>
                    <xdr:row>12</xdr:row>
                    <xdr:rowOff>47625</xdr:rowOff>
                  </from>
                  <to>
                    <xdr:col>13</xdr:col>
                    <xdr:colOff>200025</xdr:colOff>
                    <xdr:row>12</xdr:row>
                    <xdr:rowOff>257175</xdr:rowOff>
                  </to>
                </anchor>
              </controlPr>
            </control>
          </mc:Choice>
        </mc:AlternateContent>
        <mc:AlternateContent xmlns:mc="http://schemas.openxmlformats.org/markup-compatibility/2006">
          <mc:Choice Requires="x14">
            <control shapeId="84997" r:id="rId8" name="Check Box 5">
              <controlPr defaultSize="0" autoFill="0" autoLine="0" autoPict="0">
                <anchor moveWithCells="1">
                  <from>
                    <xdr:col>12</xdr:col>
                    <xdr:colOff>190500</xdr:colOff>
                    <xdr:row>13</xdr:row>
                    <xdr:rowOff>47625</xdr:rowOff>
                  </from>
                  <to>
                    <xdr:col>13</xdr:col>
                    <xdr:colOff>200025</xdr:colOff>
                    <xdr:row>13</xdr:row>
                    <xdr:rowOff>257175</xdr:rowOff>
                  </to>
                </anchor>
              </controlPr>
            </control>
          </mc:Choice>
        </mc:AlternateContent>
        <mc:AlternateContent xmlns:mc="http://schemas.openxmlformats.org/markup-compatibility/2006">
          <mc:Choice Requires="x14">
            <control shapeId="84998" r:id="rId9" name="Check Box 6">
              <controlPr defaultSize="0" autoFill="0" autoLine="0" autoPict="0">
                <anchor moveWithCells="1">
                  <from>
                    <xdr:col>12</xdr:col>
                    <xdr:colOff>190500</xdr:colOff>
                    <xdr:row>14</xdr:row>
                    <xdr:rowOff>47625</xdr:rowOff>
                  </from>
                  <to>
                    <xdr:col>13</xdr:col>
                    <xdr:colOff>200025</xdr:colOff>
                    <xdr:row>14</xdr:row>
                    <xdr:rowOff>257175</xdr:rowOff>
                  </to>
                </anchor>
              </controlPr>
            </control>
          </mc:Choice>
        </mc:AlternateContent>
        <mc:AlternateContent xmlns:mc="http://schemas.openxmlformats.org/markup-compatibility/2006">
          <mc:Choice Requires="x14">
            <control shapeId="84999" r:id="rId10" name="Check Box 7">
              <controlPr defaultSize="0" autoFill="0" autoLine="0" autoPict="0">
                <anchor moveWithCells="1">
                  <from>
                    <xdr:col>12</xdr:col>
                    <xdr:colOff>190500</xdr:colOff>
                    <xdr:row>15</xdr:row>
                    <xdr:rowOff>47625</xdr:rowOff>
                  </from>
                  <to>
                    <xdr:col>13</xdr:col>
                    <xdr:colOff>200025</xdr:colOff>
                    <xdr:row>15</xdr:row>
                    <xdr:rowOff>257175</xdr:rowOff>
                  </to>
                </anchor>
              </controlPr>
            </control>
          </mc:Choice>
        </mc:AlternateContent>
        <mc:AlternateContent xmlns:mc="http://schemas.openxmlformats.org/markup-compatibility/2006">
          <mc:Choice Requires="x14">
            <control shapeId="85018" r:id="rId11" name="Check Box 26">
              <controlPr defaultSize="0" autoFill="0" autoLine="0" autoPict="0">
                <anchor moveWithCells="1">
                  <from>
                    <xdr:col>12</xdr:col>
                    <xdr:colOff>190500</xdr:colOff>
                    <xdr:row>8</xdr:row>
                    <xdr:rowOff>47625</xdr:rowOff>
                  </from>
                  <to>
                    <xdr:col>13</xdr:col>
                    <xdr:colOff>200025</xdr:colOff>
                    <xdr:row>8</xdr:row>
                    <xdr:rowOff>257175</xdr:rowOff>
                  </to>
                </anchor>
              </controlPr>
            </control>
          </mc:Choice>
        </mc:AlternateContent>
        <mc:AlternateContent xmlns:mc="http://schemas.openxmlformats.org/markup-compatibility/2006">
          <mc:Choice Requires="x14">
            <control shapeId="85019" r:id="rId12" name="Check Box 27">
              <controlPr defaultSize="0" autoFill="0" autoLine="0" autoPict="0">
                <anchor moveWithCells="1">
                  <from>
                    <xdr:col>12</xdr:col>
                    <xdr:colOff>190500</xdr:colOff>
                    <xdr:row>9</xdr:row>
                    <xdr:rowOff>47625</xdr:rowOff>
                  </from>
                  <to>
                    <xdr:col>13</xdr:col>
                    <xdr:colOff>200025</xdr:colOff>
                    <xdr:row>9</xdr:row>
                    <xdr:rowOff>257175</xdr:rowOff>
                  </to>
                </anchor>
              </controlPr>
            </control>
          </mc:Choice>
        </mc:AlternateContent>
        <mc:AlternateContent xmlns:mc="http://schemas.openxmlformats.org/markup-compatibility/2006">
          <mc:Choice Requires="x14">
            <control shapeId="85020" r:id="rId13" name="Check Box 28">
              <controlPr defaultSize="0" autoFill="0" autoLine="0" autoPict="0">
                <anchor moveWithCells="1">
                  <from>
                    <xdr:col>12</xdr:col>
                    <xdr:colOff>190500</xdr:colOff>
                    <xdr:row>10</xdr:row>
                    <xdr:rowOff>47625</xdr:rowOff>
                  </from>
                  <to>
                    <xdr:col>13</xdr:col>
                    <xdr:colOff>200025</xdr:colOff>
                    <xdr:row>10</xdr:row>
                    <xdr:rowOff>257175</xdr:rowOff>
                  </to>
                </anchor>
              </controlPr>
            </control>
          </mc:Choice>
        </mc:AlternateContent>
        <mc:AlternateContent xmlns:mc="http://schemas.openxmlformats.org/markup-compatibility/2006">
          <mc:Choice Requires="x14">
            <control shapeId="85039" r:id="rId14" name="Check Box 47">
              <controlPr defaultSize="0" autoFill="0" autoLine="0" autoPict="0">
                <anchor moveWithCells="1">
                  <from>
                    <xdr:col>18</xdr:col>
                    <xdr:colOff>190500</xdr:colOff>
                    <xdr:row>28</xdr:row>
                    <xdr:rowOff>47625</xdr:rowOff>
                  </from>
                  <to>
                    <xdr:col>19</xdr:col>
                    <xdr:colOff>200025</xdr:colOff>
                    <xdr:row>28</xdr:row>
                    <xdr:rowOff>257175</xdr:rowOff>
                  </to>
                </anchor>
              </controlPr>
            </control>
          </mc:Choice>
        </mc:AlternateContent>
        <mc:AlternateContent xmlns:mc="http://schemas.openxmlformats.org/markup-compatibility/2006">
          <mc:Choice Requires="x14">
            <control shapeId="85040" r:id="rId15" name="Check Box 48">
              <controlPr defaultSize="0" autoFill="0" autoLine="0" autoPict="0">
                <anchor moveWithCells="1">
                  <from>
                    <xdr:col>18</xdr:col>
                    <xdr:colOff>190500</xdr:colOff>
                    <xdr:row>29</xdr:row>
                    <xdr:rowOff>47625</xdr:rowOff>
                  </from>
                  <to>
                    <xdr:col>19</xdr:col>
                    <xdr:colOff>200025</xdr:colOff>
                    <xdr:row>29</xdr:row>
                    <xdr:rowOff>257175</xdr:rowOff>
                  </to>
                </anchor>
              </controlPr>
            </control>
          </mc:Choice>
        </mc:AlternateContent>
        <mc:AlternateContent xmlns:mc="http://schemas.openxmlformats.org/markup-compatibility/2006">
          <mc:Choice Requires="x14">
            <control shapeId="85041" r:id="rId16" name="Check Box 49">
              <controlPr defaultSize="0" autoFill="0" autoLine="0" autoPict="0">
                <anchor moveWithCells="1">
                  <from>
                    <xdr:col>18</xdr:col>
                    <xdr:colOff>190500</xdr:colOff>
                    <xdr:row>30</xdr:row>
                    <xdr:rowOff>47625</xdr:rowOff>
                  </from>
                  <to>
                    <xdr:col>19</xdr:col>
                    <xdr:colOff>200025</xdr:colOff>
                    <xdr:row>30</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0"/>
  <sheetViews>
    <sheetView zoomScaleNormal="100" workbookViewId="0">
      <selection sqref="A1:Z1"/>
    </sheetView>
  </sheetViews>
  <sheetFormatPr defaultRowHeight="13.5"/>
  <cols>
    <col min="1" max="28" width="3.875" style="91" customWidth="1"/>
    <col min="29" max="30" width="10.625" style="91" hidden="1" customWidth="1"/>
    <col min="31" max="31" width="2.625" style="91" hidden="1" customWidth="1"/>
    <col min="32" max="34" width="10.625" style="91" hidden="1" customWidth="1"/>
    <col min="35" max="35" width="2.625" style="91" hidden="1" customWidth="1"/>
    <col min="36" max="37" width="15.625" style="91" hidden="1" customWidth="1"/>
    <col min="38" max="38" width="2.625" style="91" hidden="1" customWidth="1"/>
    <col min="39" max="40" width="10.625" style="91" hidden="1" customWidth="1"/>
    <col min="41" max="42" width="3.625" style="91" customWidth="1"/>
    <col min="43" max="48" width="4.625" style="91" customWidth="1"/>
    <col min="49" max="16384" width="9" style="91"/>
  </cols>
  <sheetData>
    <row r="1" spans="1:40" s="75" customFormat="1" ht="30" customHeight="1">
      <c r="A1" s="228" t="s">
        <v>137</v>
      </c>
      <c r="B1" s="228"/>
      <c r="C1" s="228"/>
      <c r="D1" s="228"/>
      <c r="E1" s="228"/>
      <c r="F1" s="228"/>
      <c r="G1" s="228"/>
      <c r="H1" s="228"/>
      <c r="I1" s="228"/>
      <c r="J1" s="228"/>
      <c r="K1" s="228"/>
      <c r="L1" s="228"/>
      <c r="M1" s="228"/>
      <c r="N1" s="228"/>
      <c r="O1" s="228"/>
      <c r="P1" s="228"/>
      <c r="Q1" s="228"/>
      <c r="R1" s="228"/>
      <c r="S1" s="228"/>
      <c r="T1" s="228"/>
      <c r="U1" s="228"/>
      <c r="V1" s="228"/>
      <c r="W1" s="228"/>
      <c r="X1" s="228"/>
      <c r="Y1" s="228"/>
      <c r="Z1" s="228"/>
    </row>
    <row r="2" spans="1:40" s="76" customFormat="1" ht="24.95" customHeight="1" thickBot="1"/>
    <row r="3" spans="1:40" s="76" customFormat="1" ht="21.95" customHeight="1" thickBot="1">
      <c r="A3" s="77" t="s">
        <v>5</v>
      </c>
      <c r="Q3" s="229" t="s">
        <v>37</v>
      </c>
      <c r="R3" s="230"/>
      <c r="S3" s="230"/>
      <c r="T3" s="231"/>
      <c r="U3" s="234" t="b">
        <f>IF(共通条件・結果!Z6="８地域","0.414",IF(共通条件・結果!Z6="７地域",0.415,IF(共通条件・結果!Z6="６地域",0.431,IF(共通条件・結果!Z6="５地域",0.437,IF(共通条件・結果!Z6="４地域",0.426,IF(共通条件・結果!Z6="３地域",0.39,IF(共通条件・結果!Z6="２地域",0.412,IF(共通条件・結果!Z6="１地域",0.43))))))))</f>
        <v>0</v>
      </c>
      <c r="V3" s="235"/>
      <c r="W3" s="234" t="b">
        <f>IF(共通条件・結果!Z6="８地域","-",IF(共通条件・結果!Z6="７地域",0.281,IF(共通条件・結果!Z6="６地域",0.325,IF(共通条件・結果!Z6="５地域",0.31,IF(共通条件・結果!Z6="４地域",0.33,IF(共通条件・結果!Z6="３地域",0.348,IF(共通条件・結果!Z6="２地域",0.341,IF(共通条件・結果!Z6="１地域",0.333))))))))</f>
        <v>0</v>
      </c>
      <c r="X3" s="235"/>
    </row>
    <row r="4" spans="1:40" s="76" customFormat="1" ht="21.95" customHeight="1">
      <c r="A4" s="236" t="s">
        <v>6</v>
      </c>
      <c r="B4" s="237"/>
      <c r="C4" s="237" t="s">
        <v>113</v>
      </c>
      <c r="D4" s="237"/>
      <c r="E4" s="237"/>
      <c r="F4" s="237"/>
      <c r="G4" s="237" t="s">
        <v>7</v>
      </c>
      <c r="H4" s="237"/>
      <c r="I4" s="254" t="s">
        <v>127</v>
      </c>
      <c r="J4" s="237"/>
      <c r="K4" s="254" t="s">
        <v>10</v>
      </c>
      <c r="L4" s="237"/>
      <c r="M4" s="262" t="s">
        <v>91</v>
      </c>
      <c r="N4" s="263"/>
      <c r="O4" s="263"/>
      <c r="P4" s="263"/>
      <c r="Q4" s="263"/>
      <c r="R4" s="263"/>
      <c r="S4" s="263"/>
      <c r="T4" s="263"/>
      <c r="U4" s="254" t="s">
        <v>86</v>
      </c>
      <c r="V4" s="237"/>
      <c r="W4" s="254" t="s">
        <v>87</v>
      </c>
      <c r="X4" s="237"/>
      <c r="Y4" s="237" t="s">
        <v>13</v>
      </c>
      <c r="Z4" s="256"/>
    </row>
    <row r="5" spans="1:40" s="76" customFormat="1" ht="21.95" customHeight="1">
      <c r="A5" s="238"/>
      <c r="B5" s="239"/>
      <c r="C5" s="242" t="s">
        <v>9</v>
      </c>
      <c r="D5" s="243"/>
      <c r="E5" s="246" t="s">
        <v>8</v>
      </c>
      <c r="F5" s="247"/>
      <c r="G5" s="239"/>
      <c r="H5" s="239"/>
      <c r="I5" s="255"/>
      <c r="J5" s="239"/>
      <c r="K5" s="255"/>
      <c r="L5" s="239"/>
      <c r="M5" s="250" t="s">
        <v>89</v>
      </c>
      <c r="N5" s="251"/>
      <c r="O5" s="259" t="s">
        <v>90</v>
      </c>
      <c r="P5" s="260"/>
      <c r="Q5" s="260"/>
      <c r="R5" s="260"/>
      <c r="S5" s="260"/>
      <c r="T5" s="261"/>
      <c r="U5" s="255"/>
      <c r="V5" s="239"/>
      <c r="W5" s="255"/>
      <c r="X5" s="239"/>
      <c r="Y5" s="239"/>
      <c r="Z5" s="257"/>
      <c r="AC5" s="264" t="s">
        <v>94</v>
      </c>
      <c r="AD5" s="264"/>
      <c r="AE5" s="78"/>
      <c r="AF5" s="78"/>
      <c r="AG5" s="264" t="s">
        <v>14</v>
      </c>
      <c r="AH5" s="264"/>
      <c r="AI5" s="78"/>
      <c r="AJ5" s="264" t="s">
        <v>95</v>
      </c>
      <c r="AK5" s="264"/>
      <c r="AM5" s="264" t="s">
        <v>110</v>
      </c>
      <c r="AN5" s="264"/>
    </row>
    <row r="6" spans="1:40" s="76" customFormat="1" ht="21.95" customHeight="1" thickBot="1">
      <c r="A6" s="240"/>
      <c r="B6" s="241"/>
      <c r="C6" s="244"/>
      <c r="D6" s="245"/>
      <c r="E6" s="248"/>
      <c r="F6" s="249"/>
      <c r="G6" s="241"/>
      <c r="H6" s="241"/>
      <c r="I6" s="241"/>
      <c r="J6" s="241"/>
      <c r="K6" s="241"/>
      <c r="L6" s="241"/>
      <c r="M6" s="252"/>
      <c r="N6" s="253"/>
      <c r="O6" s="249" t="s">
        <v>11</v>
      </c>
      <c r="P6" s="267"/>
      <c r="Q6" s="268" t="s">
        <v>12</v>
      </c>
      <c r="R6" s="269"/>
      <c r="S6" s="249" t="s">
        <v>3</v>
      </c>
      <c r="T6" s="267"/>
      <c r="U6" s="241"/>
      <c r="V6" s="241"/>
      <c r="W6" s="241"/>
      <c r="X6" s="241"/>
      <c r="Y6" s="241"/>
      <c r="Z6" s="258"/>
      <c r="AC6" s="78" t="s">
        <v>4</v>
      </c>
      <c r="AD6" s="78" t="s">
        <v>18</v>
      </c>
      <c r="AE6" s="78"/>
      <c r="AF6" s="78"/>
      <c r="AG6" s="78" t="s">
        <v>4</v>
      </c>
      <c r="AH6" s="78" t="s">
        <v>18</v>
      </c>
      <c r="AI6" s="78"/>
      <c r="AJ6" s="78" t="s">
        <v>4</v>
      </c>
      <c r="AK6" s="78" t="s">
        <v>18</v>
      </c>
      <c r="AM6" s="76" t="s">
        <v>108</v>
      </c>
      <c r="AN6" s="76" t="s">
        <v>106</v>
      </c>
    </row>
    <row r="7" spans="1:40" s="76" customFormat="1" ht="21.95" customHeight="1">
      <c r="A7" s="277"/>
      <c r="B7" s="278"/>
      <c r="C7" s="279"/>
      <c r="D7" s="280"/>
      <c r="E7" s="280"/>
      <c r="F7" s="281"/>
      <c r="G7" s="282"/>
      <c r="H7" s="282"/>
      <c r="I7" s="282"/>
      <c r="J7" s="282"/>
      <c r="K7" s="283"/>
      <c r="L7" s="283"/>
      <c r="M7" s="265"/>
      <c r="N7" s="371"/>
      <c r="O7" s="271"/>
      <c r="P7" s="272"/>
      <c r="Q7" s="273"/>
      <c r="R7" s="274"/>
      <c r="S7" s="275"/>
      <c r="T7" s="271"/>
      <c r="U7" s="270" t="str">
        <f>IF(C7="","",AC7)</f>
        <v/>
      </c>
      <c r="V7" s="270"/>
      <c r="W7" s="270" t="str">
        <f>IF(C7="","",IF(ISERROR(AD7),#VALUE!,AD7))</f>
        <v/>
      </c>
      <c r="X7" s="270"/>
      <c r="Y7" s="270" t="str">
        <f>IF(C7="","",C7*E7*AM7)</f>
        <v/>
      </c>
      <c r="Z7" s="276"/>
      <c r="AC7" s="76" t="e">
        <f>C7*E7*I7*$U$3*AG7</f>
        <v>#VALUE!</v>
      </c>
      <c r="AD7" s="76" t="e">
        <f>C7*E7*I7*$W$3*AH7</f>
        <v>#VALUE!</v>
      </c>
      <c r="AF7" s="79" t="b">
        <v>0</v>
      </c>
      <c r="AG7" s="76" t="str">
        <f>IF(AF7=TRUE,"0.93",IF(ISERROR(AJ7),"エラー",IF(AJ7&gt;0.93,"0.93",AJ7)))</f>
        <v>エラー</v>
      </c>
      <c r="AH7" s="76" t="str">
        <f>IF(AF7=TRUE,"0.51",IF(ISERROR(AK7),"エラー",IF(AK7&gt;0.72,"0.72",AK7)))</f>
        <v>エラー</v>
      </c>
      <c r="AJ7" s="76" t="e">
        <f>0.01*(16+24*(2*Q7+S7)/O7)</f>
        <v>#DIV/0!</v>
      </c>
      <c r="AK7" s="76" t="e">
        <f>0.01*(10+15*(2*Q7+S7)/O7)</f>
        <v>#DIV/0!</v>
      </c>
      <c r="AM7" s="76">
        <f>IF(共通条件・結果!$Z$6="８地域",G7,IF(AN7="FALSE",G7,IF(K7="風除室",1/((1/G7)+0.1),0.5*G7+0.5*(1/((1/G7)+AN7)))))</f>
        <v>0</v>
      </c>
      <c r="AN7" s="78" t="str">
        <f t="shared" ref="AN7:AN16" si="0">IF(K7="","FALSE",IF(K7="雨戸",0.1,IF(K7="ｼｬｯﾀｰ",0.1,IF(K7="障子",0.18,IF(K7="風除室",0.1)))))</f>
        <v>FALSE</v>
      </c>
    </row>
    <row r="8" spans="1:40" s="76" customFormat="1" ht="21.95" customHeight="1">
      <c r="A8" s="207"/>
      <c r="B8" s="208"/>
      <c r="C8" s="209"/>
      <c r="D8" s="210"/>
      <c r="E8" s="210"/>
      <c r="F8" s="211"/>
      <c r="G8" s="212"/>
      <c r="H8" s="212"/>
      <c r="I8" s="212"/>
      <c r="J8" s="212"/>
      <c r="K8" s="213" t="s">
        <v>85</v>
      </c>
      <c r="L8" s="213"/>
      <c r="M8" s="220"/>
      <c r="N8" s="370"/>
      <c r="O8" s="284"/>
      <c r="P8" s="222"/>
      <c r="Q8" s="285"/>
      <c r="R8" s="286"/>
      <c r="S8" s="225"/>
      <c r="T8" s="284"/>
      <c r="U8" s="205" t="str">
        <f t="shared" ref="U8:U16" si="1">IF(C8="","",AC8)</f>
        <v/>
      </c>
      <c r="V8" s="205"/>
      <c r="W8" s="205" t="str">
        <f t="shared" ref="W8:W16" si="2">IF(C8="","",IF(ISERROR(AD8),#VALUE!,AD8))</f>
        <v/>
      </c>
      <c r="X8" s="205"/>
      <c r="Y8" s="205" t="str">
        <f t="shared" ref="Y8:Y16" si="3">IF(C8="","",C8*E8*AM8)</f>
        <v/>
      </c>
      <c r="Z8" s="206"/>
      <c r="AC8" s="76" t="e">
        <f t="shared" ref="AC8:AC16" si="4">C8*E8*I8*$U$3*AG8</f>
        <v>#VALUE!</v>
      </c>
      <c r="AD8" s="76" t="e">
        <f t="shared" ref="AD8:AD16" si="5">C8*E8*I8*$W$3*AH8</f>
        <v>#VALUE!</v>
      </c>
      <c r="AF8" s="79" t="b">
        <v>0</v>
      </c>
      <c r="AG8" s="76" t="str">
        <f t="shared" ref="AG8:AG16" si="6">IF(AF8=TRUE,"0.93",IF(ISERROR(AJ8),"エラー",IF(AJ8&gt;0.93,"0.93",AJ8)))</f>
        <v>エラー</v>
      </c>
      <c r="AH8" s="76" t="str">
        <f t="shared" ref="AH8:AH16" si="7">IF(AF8=TRUE,"0.51",IF(ISERROR(AK8),"エラー",IF(AK8&gt;0.72,"0.72",AK8)))</f>
        <v>エラー</v>
      </c>
      <c r="AJ8" s="76" t="e">
        <f t="shared" ref="AJ8:AJ16" si="8">0.01*(16+24*(2*Q8+S8)/O8)</f>
        <v>#DIV/0!</v>
      </c>
      <c r="AK8" s="76" t="e">
        <f t="shared" ref="AK8:AK16" si="9">0.01*(10+15*(2*Q8+S8)/O8)</f>
        <v>#DIV/0!</v>
      </c>
      <c r="AM8" s="76" t="e">
        <f>IF(共通条件・結果!$Z$6="８地域",G8,IF(AN8="FALSE",G8,IF(K8="風除室",1/((1/G8)+0.1),0.5*G8+0.5*(1/((1/G8)+AN8)))))</f>
        <v>#DIV/0!</v>
      </c>
      <c r="AN8" s="78" t="b">
        <f t="shared" si="0"/>
        <v>0</v>
      </c>
    </row>
    <row r="9" spans="1:40" s="76" customFormat="1" ht="21.95" customHeight="1">
      <c r="A9" s="207"/>
      <c r="B9" s="208"/>
      <c r="C9" s="209"/>
      <c r="D9" s="210"/>
      <c r="E9" s="210"/>
      <c r="F9" s="211"/>
      <c r="G9" s="212"/>
      <c r="H9" s="212"/>
      <c r="I9" s="212"/>
      <c r="J9" s="212"/>
      <c r="K9" s="213" t="s">
        <v>85</v>
      </c>
      <c r="L9" s="213"/>
      <c r="M9" s="220"/>
      <c r="N9" s="370"/>
      <c r="O9" s="222"/>
      <c r="P9" s="223"/>
      <c r="Q9" s="224"/>
      <c r="R9" s="223"/>
      <c r="S9" s="224"/>
      <c r="T9" s="225"/>
      <c r="U9" s="205" t="str">
        <f t="shared" si="1"/>
        <v/>
      </c>
      <c r="V9" s="205"/>
      <c r="W9" s="205" t="str">
        <f t="shared" si="2"/>
        <v/>
      </c>
      <c r="X9" s="205"/>
      <c r="Y9" s="205" t="str">
        <f t="shared" si="3"/>
        <v/>
      </c>
      <c r="Z9" s="206"/>
      <c r="AC9" s="76" t="e">
        <f t="shared" si="4"/>
        <v>#VALUE!</v>
      </c>
      <c r="AD9" s="76" t="e">
        <f t="shared" si="5"/>
        <v>#VALUE!</v>
      </c>
      <c r="AF9" s="79" t="b">
        <v>0</v>
      </c>
      <c r="AG9" s="76" t="str">
        <f t="shared" si="6"/>
        <v>エラー</v>
      </c>
      <c r="AH9" s="76" t="str">
        <f t="shared" si="7"/>
        <v>エラー</v>
      </c>
      <c r="AJ9" s="76" t="e">
        <f t="shared" si="8"/>
        <v>#DIV/0!</v>
      </c>
      <c r="AK9" s="76" t="e">
        <f t="shared" si="9"/>
        <v>#DIV/0!</v>
      </c>
      <c r="AM9" s="76" t="e">
        <f>IF(共通条件・結果!$Z$6="８地域",G9,IF(AN9="FALSE",G9,IF(K9="風除室",1/((1/G9)+0.1),0.5*G9+0.5*(1/((1/G9)+AN9)))))</f>
        <v>#DIV/0!</v>
      </c>
      <c r="AN9" s="78" t="b">
        <f t="shared" si="0"/>
        <v>0</v>
      </c>
    </row>
    <row r="10" spans="1:40" s="76" customFormat="1" ht="21.95" customHeight="1">
      <c r="A10" s="207"/>
      <c r="B10" s="208"/>
      <c r="C10" s="209"/>
      <c r="D10" s="210"/>
      <c r="E10" s="210"/>
      <c r="F10" s="211"/>
      <c r="G10" s="212"/>
      <c r="H10" s="212"/>
      <c r="I10" s="212"/>
      <c r="J10" s="212"/>
      <c r="K10" s="213" t="s">
        <v>85</v>
      </c>
      <c r="L10" s="213"/>
      <c r="M10" s="220"/>
      <c r="N10" s="370"/>
      <c r="O10" s="222"/>
      <c r="P10" s="223"/>
      <c r="Q10" s="224"/>
      <c r="R10" s="223"/>
      <c r="S10" s="224"/>
      <c r="T10" s="225"/>
      <c r="U10" s="205" t="str">
        <f t="shared" si="1"/>
        <v/>
      </c>
      <c r="V10" s="205"/>
      <c r="W10" s="205" t="str">
        <f t="shared" si="2"/>
        <v/>
      </c>
      <c r="X10" s="205"/>
      <c r="Y10" s="205" t="str">
        <f t="shared" si="3"/>
        <v/>
      </c>
      <c r="Z10" s="206"/>
      <c r="AC10" s="76" t="e">
        <f t="shared" si="4"/>
        <v>#VALUE!</v>
      </c>
      <c r="AD10" s="76" t="e">
        <f t="shared" si="5"/>
        <v>#VALUE!</v>
      </c>
      <c r="AF10" s="79" t="b">
        <v>0</v>
      </c>
      <c r="AG10" s="76" t="str">
        <f t="shared" si="6"/>
        <v>エラー</v>
      </c>
      <c r="AH10" s="76" t="str">
        <f t="shared" si="7"/>
        <v>エラー</v>
      </c>
      <c r="AJ10" s="76" t="e">
        <f t="shared" si="8"/>
        <v>#DIV/0!</v>
      </c>
      <c r="AK10" s="76" t="e">
        <f t="shared" si="9"/>
        <v>#DIV/0!</v>
      </c>
      <c r="AM10" s="76" t="e">
        <f>IF(共通条件・結果!$Z$6="８地域",G10,IF(AN10="FALSE",G10,IF(K10="風除室",1/((1/G10)+0.1),0.5*G10+0.5*(1/((1/G10)+AN10)))))</f>
        <v>#DIV/0!</v>
      </c>
      <c r="AN10" s="78" t="b">
        <f t="shared" si="0"/>
        <v>0</v>
      </c>
    </row>
    <row r="11" spans="1:40" s="76" customFormat="1" ht="21.95" customHeight="1">
      <c r="A11" s="207"/>
      <c r="B11" s="208"/>
      <c r="C11" s="209"/>
      <c r="D11" s="210"/>
      <c r="E11" s="210"/>
      <c r="F11" s="211"/>
      <c r="G11" s="212"/>
      <c r="H11" s="212"/>
      <c r="I11" s="212"/>
      <c r="J11" s="212"/>
      <c r="K11" s="213" t="s">
        <v>85</v>
      </c>
      <c r="L11" s="213"/>
      <c r="M11" s="220"/>
      <c r="N11" s="370"/>
      <c r="O11" s="222"/>
      <c r="P11" s="223"/>
      <c r="Q11" s="224"/>
      <c r="R11" s="223"/>
      <c r="S11" s="224"/>
      <c r="T11" s="225"/>
      <c r="U11" s="205" t="str">
        <f t="shared" si="1"/>
        <v/>
      </c>
      <c r="V11" s="205"/>
      <c r="W11" s="205" t="str">
        <f t="shared" si="2"/>
        <v/>
      </c>
      <c r="X11" s="205"/>
      <c r="Y11" s="205" t="str">
        <f t="shared" si="3"/>
        <v/>
      </c>
      <c r="Z11" s="206"/>
      <c r="AC11" s="76" t="e">
        <f t="shared" si="4"/>
        <v>#VALUE!</v>
      </c>
      <c r="AD11" s="76" t="e">
        <f t="shared" si="5"/>
        <v>#VALUE!</v>
      </c>
      <c r="AF11" s="79" t="b">
        <v>0</v>
      </c>
      <c r="AG11" s="76" t="str">
        <f t="shared" si="6"/>
        <v>エラー</v>
      </c>
      <c r="AH11" s="76" t="str">
        <f t="shared" si="7"/>
        <v>エラー</v>
      </c>
      <c r="AJ11" s="76" t="e">
        <f t="shared" si="8"/>
        <v>#DIV/0!</v>
      </c>
      <c r="AK11" s="76" t="e">
        <f t="shared" si="9"/>
        <v>#DIV/0!</v>
      </c>
      <c r="AM11" s="76" t="e">
        <f>IF(共通条件・結果!$Z$6="８地域",G11,IF(AN11="FALSE",G11,IF(K11="風除室",1/((1/G11)+0.1),0.5*G11+0.5*(1/((1/G11)+AN11)))))</f>
        <v>#DIV/0!</v>
      </c>
      <c r="AN11" s="78" t="b">
        <f t="shared" si="0"/>
        <v>0</v>
      </c>
    </row>
    <row r="12" spans="1:40" s="76" customFormat="1" ht="21.95" customHeight="1">
      <c r="A12" s="207"/>
      <c r="B12" s="208"/>
      <c r="C12" s="209"/>
      <c r="D12" s="210"/>
      <c r="E12" s="210"/>
      <c r="F12" s="211"/>
      <c r="G12" s="212"/>
      <c r="H12" s="212"/>
      <c r="I12" s="212"/>
      <c r="J12" s="212"/>
      <c r="K12" s="213" t="s">
        <v>85</v>
      </c>
      <c r="L12" s="213"/>
      <c r="M12" s="220"/>
      <c r="N12" s="370"/>
      <c r="O12" s="222"/>
      <c r="P12" s="223"/>
      <c r="Q12" s="224"/>
      <c r="R12" s="223"/>
      <c r="S12" s="224"/>
      <c r="T12" s="225"/>
      <c r="U12" s="226" t="str">
        <f t="shared" si="1"/>
        <v/>
      </c>
      <c r="V12" s="227"/>
      <c r="W12" s="205" t="str">
        <f t="shared" si="2"/>
        <v/>
      </c>
      <c r="X12" s="205"/>
      <c r="Y12" s="205" t="str">
        <f t="shared" si="3"/>
        <v/>
      </c>
      <c r="Z12" s="206"/>
      <c r="AC12" s="76" t="e">
        <f t="shared" si="4"/>
        <v>#VALUE!</v>
      </c>
      <c r="AD12" s="76" t="e">
        <f t="shared" si="5"/>
        <v>#VALUE!</v>
      </c>
      <c r="AF12" s="79" t="b">
        <v>0</v>
      </c>
      <c r="AG12" s="76" t="str">
        <f t="shared" si="6"/>
        <v>エラー</v>
      </c>
      <c r="AH12" s="76" t="str">
        <f t="shared" si="7"/>
        <v>エラー</v>
      </c>
      <c r="AJ12" s="76" t="e">
        <f t="shared" si="8"/>
        <v>#DIV/0!</v>
      </c>
      <c r="AK12" s="76" t="e">
        <f t="shared" si="9"/>
        <v>#DIV/0!</v>
      </c>
      <c r="AM12" s="76" t="e">
        <f>IF(共通条件・結果!$Z$6="８地域",G12,IF(AN12="FALSE",G12,IF(K12="風除室",1/((1/G12)+0.1),0.5*G12+0.5*(1/((1/G12)+AN12)))))</f>
        <v>#DIV/0!</v>
      </c>
      <c r="AN12" s="78" t="b">
        <f t="shared" si="0"/>
        <v>0</v>
      </c>
    </row>
    <row r="13" spans="1:40" s="76" customFormat="1" ht="21.95" customHeight="1">
      <c r="A13" s="207"/>
      <c r="B13" s="208"/>
      <c r="C13" s="209"/>
      <c r="D13" s="210"/>
      <c r="E13" s="210"/>
      <c r="F13" s="211"/>
      <c r="G13" s="212"/>
      <c r="H13" s="212"/>
      <c r="I13" s="212"/>
      <c r="J13" s="212"/>
      <c r="K13" s="213" t="s">
        <v>85</v>
      </c>
      <c r="L13" s="213"/>
      <c r="M13" s="220"/>
      <c r="N13" s="370"/>
      <c r="O13" s="222"/>
      <c r="P13" s="223"/>
      <c r="Q13" s="224"/>
      <c r="R13" s="223"/>
      <c r="S13" s="224"/>
      <c r="T13" s="225"/>
      <c r="U13" s="226" t="str">
        <f t="shared" si="1"/>
        <v/>
      </c>
      <c r="V13" s="227"/>
      <c r="W13" s="205" t="str">
        <f t="shared" si="2"/>
        <v/>
      </c>
      <c r="X13" s="205"/>
      <c r="Y13" s="205" t="str">
        <f t="shared" si="3"/>
        <v/>
      </c>
      <c r="Z13" s="206"/>
      <c r="AC13" s="76" t="e">
        <f t="shared" si="4"/>
        <v>#VALUE!</v>
      </c>
      <c r="AD13" s="76" t="e">
        <f t="shared" si="5"/>
        <v>#VALUE!</v>
      </c>
      <c r="AF13" s="79" t="b">
        <v>0</v>
      </c>
      <c r="AG13" s="76" t="str">
        <f t="shared" si="6"/>
        <v>エラー</v>
      </c>
      <c r="AH13" s="76" t="str">
        <f t="shared" si="7"/>
        <v>エラー</v>
      </c>
      <c r="AJ13" s="76" t="e">
        <f t="shared" si="8"/>
        <v>#DIV/0!</v>
      </c>
      <c r="AK13" s="76" t="e">
        <f t="shared" si="9"/>
        <v>#DIV/0!</v>
      </c>
      <c r="AM13" s="76" t="e">
        <f>IF(共通条件・結果!$Z$6="８地域",G13,IF(AN13="FALSE",G13,IF(K13="風除室",1/((1/G13)+0.1),0.5*G13+0.5*(1/((1/G13)+AN13)))))</f>
        <v>#DIV/0!</v>
      </c>
      <c r="AN13" s="78" t="b">
        <f t="shared" si="0"/>
        <v>0</v>
      </c>
    </row>
    <row r="14" spans="1:40" s="76" customFormat="1" ht="21.95" customHeight="1">
      <c r="A14" s="207"/>
      <c r="B14" s="208"/>
      <c r="C14" s="209"/>
      <c r="D14" s="210"/>
      <c r="E14" s="210"/>
      <c r="F14" s="211"/>
      <c r="G14" s="212"/>
      <c r="H14" s="212"/>
      <c r="I14" s="212"/>
      <c r="J14" s="212"/>
      <c r="K14" s="213" t="s">
        <v>85</v>
      </c>
      <c r="L14" s="213"/>
      <c r="M14" s="220"/>
      <c r="N14" s="370"/>
      <c r="O14" s="284"/>
      <c r="P14" s="222"/>
      <c r="Q14" s="224"/>
      <c r="R14" s="223"/>
      <c r="S14" s="224"/>
      <c r="T14" s="225"/>
      <c r="U14" s="226" t="str">
        <f t="shared" si="1"/>
        <v/>
      </c>
      <c r="V14" s="227"/>
      <c r="W14" s="205" t="str">
        <f t="shared" si="2"/>
        <v/>
      </c>
      <c r="X14" s="205"/>
      <c r="Y14" s="205" t="str">
        <f t="shared" si="3"/>
        <v/>
      </c>
      <c r="Z14" s="206"/>
      <c r="AC14" s="76" t="e">
        <f t="shared" si="4"/>
        <v>#VALUE!</v>
      </c>
      <c r="AD14" s="76" t="e">
        <f t="shared" si="5"/>
        <v>#VALUE!</v>
      </c>
      <c r="AF14" s="79" t="b">
        <v>0</v>
      </c>
      <c r="AG14" s="76" t="str">
        <f t="shared" si="6"/>
        <v>エラー</v>
      </c>
      <c r="AH14" s="76" t="str">
        <f t="shared" si="7"/>
        <v>エラー</v>
      </c>
      <c r="AJ14" s="76" t="e">
        <f t="shared" si="8"/>
        <v>#DIV/0!</v>
      </c>
      <c r="AK14" s="76" t="e">
        <f t="shared" si="9"/>
        <v>#DIV/0!</v>
      </c>
      <c r="AM14" s="76" t="e">
        <f>IF(共通条件・結果!$Z$6="８地域",G14,IF(AN14="FALSE",G14,IF(K14="風除室",1/((1/G14)+0.1),0.5*G14+0.5*(1/((1/G14)+AN14)))))</f>
        <v>#DIV/0!</v>
      </c>
      <c r="AN14" s="78" t="b">
        <f t="shared" si="0"/>
        <v>0</v>
      </c>
    </row>
    <row r="15" spans="1:40" s="76" customFormat="1" ht="21.95" customHeight="1">
      <c r="A15" s="207"/>
      <c r="B15" s="208"/>
      <c r="C15" s="209"/>
      <c r="D15" s="210"/>
      <c r="E15" s="210"/>
      <c r="F15" s="211"/>
      <c r="G15" s="212"/>
      <c r="H15" s="212"/>
      <c r="I15" s="212"/>
      <c r="J15" s="212"/>
      <c r="K15" s="213" t="s">
        <v>85</v>
      </c>
      <c r="L15" s="213"/>
      <c r="M15" s="220"/>
      <c r="N15" s="370"/>
      <c r="O15" s="284"/>
      <c r="P15" s="222"/>
      <c r="Q15" s="285"/>
      <c r="R15" s="286"/>
      <c r="S15" s="225"/>
      <c r="T15" s="284"/>
      <c r="U15" s="226" t="str">
        <f t="shared" si="1"/>
        <v/>
      </c>
      <c r="V15" s="227"/>
      <c r="W15" s="205" t="str">
        <f t="shared" si="2"/>
        <v/>
      </c>
      <c r="X15" s="205"/>
      <c r="Y15" s="205" t="str">
        <f t="shared" si="3"/>
        <v/>
      </c>
      <c r="Z15" s="206"/>
      <c r="AC15" s="76" t="e">
        <f t="shared" si="4"/>
        <v>#VALUE!</v>
      </c>
      <c r="AD15" s="76" t="e">
        <f t="shared" si="5"/>
        <v>#VALUE!</v>
      </c>
      <c r="AF15" s="79" t="b">
        <v>0</v>
      </c>
      <c r="AG15" s="76" t="str">
        <f t="shared" si="6"/>
        <v>エラー</v>
      </c>
      <c r="AH15" s="76" t="str">
        <f t="shared" si="7"/>
        <v>エラー</v>
      </c>
      <c r="AJ15" s="76" t="e">
        <f t="shared" si="8"/>
        <v>#DIV/0!</v>
      </c>
      <c r="AK15" s="76" t="e">
        <f t="shared" si="9"/>
        <v>#DIV/0!</v>
      </c>
      <c r="AM15" s="76" t="e">
        <f>IF(共通条件・結果!$Z$6="８地域",G15,IF(AN15="FALSE",G15,IF(K15="風除室",1/((1/G15)+0.1),0.5*G15+0.5*(1/((1/G15)+AN15)))))</f>
        <v>#DIV/0!</v>
      </c>
      <c r="AN15" s="78" t="b">
        <f t="shared" si="0"/>
        <v>0</v>
      </c>
    </row>
    <row r="16" spans="1:40" s="76" customFormat="1" ht="21.95" customHeight="1" thickBot="1">
      <c r="A16" s="306"/>
      <c r="B16" s="307"/>
      <c r="C16" s="308"/>
      <c r="D16" s="295"/>
      <c r="E16" s="295"/>
      <c r="F16" s="296"/>
      <c r="G16" s="294"/>
      <c r="H16" s="294"/>
      <c r="I16" s="294"/>
      <c r="J16" s="294"/>
      <c r="K16" s="283" t="s">
        <v>85</v>
      </c>
      <c r="L16" s="283"/>
      <c r="M16" s="287"/>
      <c r="N16" s="369"/>
      <c r="O16" s="289"/>
      <c r="P16" s="290"/>
      <c r="Q16" s="291"/>
      <c r="R16" s="292"/>
      <c r="S16" s="293"/>
      <c r="T16" s="289"/>
      <c r="U16" s="226" t="str">
        <f t="shared" si="1"/>
        <v/>
      </c>
      <c r="V16" s="227"/>
      <c r="W16" s="205" t="str">
        <f t="shared" si="2"/>
        <v/>
      </c>
      <c r="X16" s="205"/>
      <c r="Y16" s="300" t="str">
        <f t="shared" si="3"/>
        <v/>
      </c>
      <c r="Z16" s="301"/>
      <c r="AC16" s="76" t="e">
        <f t="shared" si="4"/>
        <v>#VALUE!</v>
      </c>
      <c r="AD16" s="76" t="e">
        <f t="shared" si="5"/>
        <v>#VALUE!</v>
      </c>
      <c r="AF16" s="79" t="b">
        <v>0</v>
      </c>
      <c r="AG16" s="76" t="str">
        <f t="shared" si="6"/>
        <v>エラー</v>
      </c>
      <c r="AH16" s="76" t="str">
        <f t="shared" si="7"/>
        <v>エラー</v>
      </c>
      <c r="AJ16" s="76" t="e">
        <f t="shared" si="8"/>
        <v>#DIV/0!</v>
      </c>
      <c r="AK16" s="76" t="e">
        <f t="shared" si="9"/>
        <v>#DIV/0!</v>
      </c>
      <c r="AM16" s="76" t="e">
        <f>IF(共通条件・結果!$Z$6="８地域",G16,IF(AN16="FALSE",G16,IF(K16="風除室",1/((1/G16)+0.1),0.5*G16+0.5*(1/((1/G16)+AN16)))))</f>
        <v>#DIV/0!</v>
      </c>
      <c r="AN16" s="78" t="b">
        <f t="shared" si="0"/>
        <v>0</v>
      </c>
    </row>
    <row r="17" spans="1:40" s="76" customFormat="1" ht="21.95" customHeight="1" thickBot="1">
      <c r="A17" s="302" t="s">
        <v>149</v>
      </c>
      <c r="B17" s="303"/>
      <c r="C17" s="303"/>
      <c r="D17" s="303"/>
      <c r="E17" s="303"/>
      <c r="F17" s="303"/>
      <c r="G17" s="303"/>
      <c r="H17" s="303"/>
      <c r="I17" s="303"/>
      <c r="J17" s="303"/>
      <c r="K17" s="303"/>
      <c r="L17" s="303"/>
      <c r="M17" s="303"/>
      <c r="N17" s="303"/>
      <c r="O17" s="303"/>
      <c r="P17" s="303"/>
      <c r="Q17" s="303"/>
      <c r="R17" s="303"/>
      <c r="S17" s="303"/>
      <c r="T17" s="303"/>
      <c r="U17" s="304">
        <f>SUM(U7:V16)</f>
        <v>0</v>
      </c>
      <c r="V17" s="304"/>
      <c r="W17" s="304">
        <f>SUM(W7:X16)</f>
        <v>0</v>
      </c>
      <c r="X17" s="304"/>
      <c r="Y17" s="304">
        <f>SUM(Y7:Z16)</f>
        <v>0</v>
      </c>
      <c r="Z17" s="305"/>
    </row>
    <row r="18" spans="1:40" s="76" customFormat="1" ht="9.9499999999999993" customHeight="1">
      <c r="AM18" s="264"/>
      <c r="AN18" s="264"/>
    </row>
    <row r="19" spans="1:40" s="76" customFormat="1" ht="21.95" customHeight="1" thickBot="1">
      <c r="I19" s="77" t="s">
        <v>15</v>
      </c>
      <c r="J19" s="77"/>
      <c r="K19" s="77"/>
    </row>
    <row r="20" spans="1:40" s="76" customFormat="1" ht="21.95" customHeight="1">
      <c r="I20" s="352" t="s">
        <v>16</v>
      </c>
      <c r="J20" s="356"/>
      <c r="K20" s="356"/>
      <c r="L20" s="353"/>
      <c r="M20" s="237" t="s">
        <v>113</v>
      </c>
      <c r="N20" s="237"/>
      <c r="O20" s="237"/>
      <c r="P20" s="237"/>
      <c r="Q20" s="237" t="s">
        <v>7</v>
      </c>
      <c r="R20" s="237"/>
      <c r="S20" s="366" t="s">
        <v>10</v>
      </c>
      <c r="T20" s="367"/>
      <c r="U20" s="254" t="s">
        <v>88</v>
      </c>
      <c r="V20" s="237"/>
      <c r="W20" s="254" t="s">
        <v>87</v>
      </c>
      <c r="X20" s="237"/>
      <c r="Y20" s="237" t="s">
        <v>13</v>
      </c>
      <c r="Z20" s="256"/>
      <c r="AM20" s="264" t="s">
        <v>110</v>
      </c>
      <c r="AN20" s="264"/>
    </row>
    <row r="21" spans="1:40" s="76" customFormat="1" ht="21.95" customHeight="1" thickBot="1">
      <c r="I21" s="354"/>
      <c r="J21" s="248"/>
      <c r="K21" s="248"/>
      <c r="L21" s="249"/>
      <c r="M21" s="297" t="s">
        <v>9</v>
      </c>
      <c r="N21" s="298"/>
      <c r="O21" s="299" t="s">
        <v>8</v>
      </c>
      <c r="P21" s="241"/>
      <c r="Q21" s="241"/>
      <c r="R21" s="241"/>
      <c r="S21" s="368"/>
      <c r="T21" s="368"/>
      <c r="U21" s="241"/>
      <c r="V21" s="241"/>
      <c r="W21" s="241"/>
      <c r="X21" s="241"/>
      <c r="Y21" s="241"/>
      <c r="Z21" s="258"/>
      <c r="AM21" s="76" t="s">
        <v>108</v>
      </c>
      <c r="AN21" s="76" t="s">
        <v>106</v>
      </c>
    </row>
    <row r="22" spans="1:40" s="76" customFormat="1" ht="21.95" customHeight="1">
      <c r="B22" s="80"/>
      <c r="C22" s="80"/>
      <c r="D22" s="80"/>
      <c r="E22" s="80"/>
      <c r="F22" s="80"/>
      <c r="G22" s="80"/>
      <c r="H22" s="80"/>
      <c r="I22" s="218"/>
      <c r="J22" s="357"/>
      <c r="K22" s="357"/>
      <c r="L22" s="219"/>
      <c r="M22" s="279"/>
      <c r="N22" s="280"/>
      <c r="O22" s="280"/>
      <c r="P22" s="281"/>
      <c r="Q22" s="338"/>
      <c r="R22" s="338"/>
      <c r="S22" s="283"/>
      <c r="T22" s="283"/>
      <c r="U22" s="300" t="str">
        <f>IF(M22="","",M22*O22*Q22*0.034*$U$3)</f>
        <v/>
      </c>
      <c r="V22" s="300"/>
      <c r="W22" s="300" t="str">
        <f>IF(M22="","",IF(ISERROR(M22*O22*Q22*0.034*$W$3),"-",M22*O22*Q22*0.034*$W$3))</f>
        <v/>
      </c>
      <c r="X22" s="300"/>
      <c r="Y22" s="300" t="str">
        <f>IF(M22="","",M22*O22*AM22)</f>
        <v/>
      </c>
      <c r="Z22" s="301"/>
      <c r="AM22" s="76">
        <f>IF(共通条件・結果!$Z$6="８地域",Q22,IF(AN22="FALSE",Q22,IF(S22="風除室",1/((1/Q22)+0.1),0.5*Q22+0.5*(1/((1/Q22)+AN22)))))</f>
        <v>0</v>
      </c>
      <c r="AN22" s="78" t="str">
        <f>IF(S22="","FALSE",IF(S22="雨戸",0.1,IF(S22="ｼｬｯﾀｰ",0.1,IF(S22="障子",0.18,IF(S22="風除室",0.1)))))</f>
        <v>FALSE</v>
      </c>
    </row>
    <row r="23" spans="1:40" s="76" customFormat="1" ht="21.95" customHeight="1" thickBot="1">
      <c r="B23" s="80"/>
      <c r="C23" s="80"/>
      <c r="D23" s="80"/>
      <c r="E23" s="80"/>
      <c r="F23" s="80"/>
      <c r="G23" s="80"/>
      <c r="H23" s="80"/>
      <c r="I23" s="214"/>
      <c r="J23" s="358"/>
      <c r="K23" s="358"/>
      <c r="L23" s="215"/>
      <c r="M23" s="308"/>
      <c r="N23" s="295"/>
      <c r="O23" s="295"/>
      <c r="P23" s="296"/>
      <c r="Q23" s="294"/>
      <c r="R23" s="294"/>
      <c r="S23" s="213" t="s">
        <v>85</v>
      </c>
      <c r="T23" s="213"/>
      <c r="U23" s="350" t="str">
        <f>IF(M23="","",M23*O23*Q23*0.034*$U$3)</f>
        <v/>
      </c>
      <c r="V23" s="350"/>
      <c r="W23" s="350" t="str">
        <f>IF(M23="","",IF(ISERROR(M23*O23*Q23*0.034*$W$3),"-",M23*O23*Q23*0.034*$W$3))</f>
        <v/>
      </c>
      <c r="X23" s="350"/>
      <c r="Y23" s="350" t="str">
        <f>IF(M23="","",M23*O23*AM23)</f>
        <v/>
      </c>
      <c r="Z23" s="351"/>
      <c r="AM23" s="76" t="e">
        <f>IF(共通条件・結果!$Z$6="８地域",Q23,IF(AN23="FALSE",Q23,IF(S23="風除室",1/((1/Q23)+0.1),0.5*Q23+0.5*(1/((1/Q23)+AN23)))))</f>
        <v>#DIV/0!</v>
      </c>
      <c r="AN23" s="78" t="b">
        <f>IF(S23="","FALSE",IF(S23="雨戸",0.1,IF(S23="ｼｬｯﾀｰ",0.1,IF(S23="障子",0.18,IF(S23="風除室",0.1)))))</f>
        <v>0</v>
      </c>
    </row>
    <row r="24" spans="1:40" s="76" customFormat="1" ht="21.95" customHeight="1" thickBot="1">
      <c r="B24" s="80"/>
      <c r="C24" s="80"/>
      <c r="D24" s="80"/>
      <c r="E24" s="80"/>
      <c r="F24" s="80"/>
      <c r="G24" s="80"/>
      <c r="H24" s="80"/>
      <c r="I24" s="302" t="s">
        <v>173</v>
      </c>
      <c r="J24" s="303"/>
      <c r="K24" s="303"/>
      <c r="L24" s="303"/>
      <c r="M24" s="303"/>
      <c r="N24" s="303"/>
      <c r="O24" s="303"/>
      <c r="P24" s="303"/>
      <c r="Q24" s="303"/>
      <c r="R24" s="303"/>
      <c r="S24" s="303"/>
      <c r="T24" s="355"/>
      <c r="U24" s="304">
        <f>SUM(U22:V23)</f>
        <v>0</v>
      </c>
      <c r="V24" s="304"/>
      <c r="W24" s="304">
        <f>SUM(W22:X23)</f>
        <v>0</v>
      </c>
      <c r="X24" s="304"/>
      <c r="Y24" s="304">
        <f>SUM(Y22:Z23)</f>
        <v>0</v>
      </c>
      <c r="Z24" s="305"/>
      <c r="AN24" s="78"/>
    </row>
    <row r="25" spans="1:40" s="76" customFormat="1" ht="9.9499999999999993" customHeight="1">
      <c r="B25" s="80"/>
      <c r="C25" s="80"/>
      <c r="D25" s="80"/>
      <c r="E25" s="80"/>
      <c r="F25" s="80"/>
      <c r="G25" s="80"/>
      <c r="H25" s="80"/>
      <c r="I25" s="80"/>
      <c r="AN25" s="78"/>
    </row>
    <row r="26" spans="1:40" s="76" customFormat="1" ht="21.95" customHeight="1" thickBot="1">
      <c r="B26" s="80"/>
      <c r="C26" s="80"/>
      <c r="D26" s="80"/>
      <c r="E26" s="80"/>
      <c r="F26" s="80"/>
      <c r="G26" s="80"/>
      <c r="H26" s="80"/>
      <c r="I26" s="77" t="s">
        <v>17</v>
      </c>
      <c r="J26" s="77"/>
      <c r="K26" s="77"/>
      <c r="AN26" s="78"/>
    </row>
    <row r="27" spans="1:40" s="76" customFormat="1" ht="21.95" customHeight="1">
      <c r="B27" s="80"/>
      <c r="C27" s="80"/>
      <c r="D27" s="80"/>
      <c r="E27" s="80"/>
      <c r="F27" s="80"/>
      <c r="G27" s="80"/>
      <c r="H27" s="80"/>
      <c r="I27" s="352" t="s">
        <v>0</v>
      </c>
      <c r="J27" s="353"/>
      <c r="K27" s="363" t="s">
        <v>62</v>
      </c>
      <c r="L27" s="364"/>
      <c r="M27" s="363" t="s">
        <v>200</v>
      </c>
      <c r="N27" s="364"/>
      <c r="O27" s="339" t="s">
        <v>63</v>
      </c>
      <c r="P27" s="340"/>
      <c r="Q27" s="237" t="s">
        <v>7</v>
      </c>
      <c r="R27" s="237"/>
      <c r="S27" s="359" t="s">
        <v>180</v>
      </c>
      <c r="T27" s="360"/>
      <c r="U27" s="254" t="s">
        <v>88</v>
      </c>
      <c r="V27" s="237"/>
      <c r="W27" s="254" t="s">
        <v>87</v>
      </c>
      <c r="X27" s="237"/>
      <c r="Y27" s="237" t="s">
        <v>13</v>
      </c>
      <c r="Z27" s="256"/>
      <c r="AN27" s="78"/>
    </row>
    <row r="28" spans="1:40" s="76" customFormat="1" ht="21.95" customHeight="1" thickBot="1">
      <c r="B28" s="80"/>
      <c r="C28" s="80"/>
      <c r="D28" s="80"/>
      <c r="E28" s="80"/>
      <c r="F28" s="80"/>
      <c r="G28" s="80"/>
      <c r="H28" s="80"/>
      <c r="I28" s="354"/>
      <c r="J28" s="249"/>
      <c r="K28" s="252"/>
      <c r="L28" s="365"/>
      <c r="M28" s="252"/>
      <c r="N28" s="365"/>
      <c r="O28" s="341"/>
      <c r="P28" s="342"/>
      <c r="Q28" s="241"/>
      <c r="R28" s="241"/>
      <c r="S28" s="361"/>
      <c r="T28" s="362"/>
      <c r="U28" s="241"/>
      <c r="V28" s="241"/>
      <c r="W28" s="241"/>
      <c r="X28" s="241"/>
      <c r="Y28" s="241"/>
      <c r="Z28" s="258"/>
      <c r="AD28" s="76" t="s">
        <v>170</v>
      </c>
      <c r="AE28" s="76" t="s">
        <v>171</v>
      </c>
    </row>
    <row r="29" spans="1:40" s="76" customFormat="1" ht="21.95" customHeight="1">
      <c r="B29" s="80"/>
      <c r="C29" s="80"/>
      <c r="D29" s="80"/>
      <c r="E29" s="80"/>
      <c r="F29" s="80"/>
      <c r="G29" s="80"/>
      <c r="H29" s="80"/>
      <c r="I29" s="218"/>
      <c r="J29" s="219"/>
      <c r="K29" s="334"/>
      <c r="L29" s="335"/>
      <c r="M29" s="334"/>
      <c r="N29" s="335"/>
      <c r="O29" s="336" t="str">
        <f>IF(K29="","",K29-M29)</f>
        <v/>
      </c>
      <c r="P29" s="337"/>
      <c r="Q29" s="338"/>
      <c r="R29" s="338"/>
      <c r="S29" s="338"/>
      <c r="T29" s="338"/>
      <c r="U29" s="205" t="str">
        <f>IF(O29="","",IF(AC29=TRUE,0,O29*Q29*0.034*$U$3))</f>
        <v/>
      </c>
      <c r="V29" s="205"/>
      <c r="W29" s="226" t="str">
        <f>IF(O29="","",IF(ISERROR(O29*Q29*0.034*$W$3),"-",IF(AC29=TRUE,0,O29*Q29*0.034*$W$3)))</f>
        <v/>
      </c>
      <c r="X29" s="227"/>
      <c r="Y29" s="270" t="str">
        <f>IF(Q29="","",IF(AC29=TRUE,0.7*Q29*O29,Q29*O29))</f>
        <v/>
      </c>
      <c r="Z29" s="276"/>
      <c r="AC29" s="79" t="b">
        <v>0</v>
      </c>
      <c r="AD29" s="79">
        <f>IF(AC29=TRUE,0.7,1)</f>
        <v>1</v>
      </c>
      <c r="AE29" s="79" t="str">
        <f>IF(AC29=TRUE,0,"セル")</f>
        <v>セル</v>
      </c>
    </row>
    <row r="30" spans="1:40" s="76" customFormat="1" ht="21.95" customHeight="1">
      <c r="B30" s="80"/>
      <c r="C30" s="80"/>
      <c r="D30" s="80"/>
      <c r="E30" s="80"/>
      <c r="F30" s="80"/>
      <c r="G30" s="80"/>
      <c r="H30" s="80"/>
      <c r="I30" s="216"/>
      <c r="J30" s="217"/>
      <c r="K30" s="332"/>
      <c r="L30" s="333"/>
      <c r="M30" s="332"/>
      <c r="N30" s="333"/>
      <c r="O30" s="330" t="str">
        <f>IF(K30="","",K30-M30)</f>
        <v/>
      </c>
      <c r="P30" s="331"/>
      <c r="Q30" s="212"/>
      <c r="R30" s="212"/>
      <c r="S30" s="212"/>
      <c r="T30" s="212"/>
      <c r="U30" s="205" t="str">
        <f>IF(O30="","",IF(AC30=TRUE,0,O30*Q30*0.034*$U$3))</f>
        <v/>
      </c>
      <c r="V30" s="205"/>
      <c r="W30" s="226" t="str">
        <f>IF(O30="","",IF(ISERROR(O30*Q30*0.034*$W$3),"-",IF(AC30=TRUE,0,O30*Q30*0.034*$W$3)))</f>
        <v/>
      </c>
      <c r="X30" s="227"/>
      <c r="Y30" s="205" t="str">
        <f>IF(Q30="","",IF(AC30=TRUE,0.7*Q30*O30,Q30*O30))</f>
        <v/>
      </c>
      <c r="Z30" s="206"/>
      <c r="AC30" s="79" t="b">
        <v>0</v>
      </c>
      <c r="AD30" s="79">
        <f>IF(AC30=TRUE,0.7,1)</f>
        <v>1</v>
      </c>
      <c r="AE30" s="79" t="str">
        <f>IF(AC30=TRUE,0,"セル")</f>
        <v>セル</v>
      </c>
    </row>
    <row r="31" spans="1:40" s="76" customFormat="1" ht="21.95" customHeight="1" thickBot="1">
      <c r="I31" s="214"/>
      <c r="J31" s="215"/>
      <c r="K31" s="345"/>
      <c r="L31" s="346"/>
      <c r="M31" s="345"/>
      <c r="N31" s="346"/>
      <c r="O31" s="347" t="str">
        <f>IF(K31="","",K31-M31)</f>
        <v/>
      </c>
      <c r="P31" s="348"/>
      <c r="Q31" s="349"/>
      <c r="R31" s="349"/>
      <c r="S31" s="349"/>
      <c r="T31" s="349"/>
      <c r="U31" s="300" t="str">
        <f>IF(O31="","",IF(AC31=TRUE,0,O31*Q31*0.034*$U$3))</f>
        <v/>
      </c>
      <c r="V31" s="300"/>
      <c r="W31" s="343" t="str">
        <f>IF(O31="","",IF(ISERROR(O31*Q31*0.034*$W$3),"-",IF(AC31=TRUE,0,O31*Q31*0.034*$W$3)))</f>
        <v/>
      </c>
      <c r="X31" s="344"/>
      <c r="Y31" s="300" t="str">
        <f>IF(Q31="","",IF(AC31=TRUE,0.7*Q31*O31,Q31*O31))</f>
        <v/>
      </c>
      <c r="Z31" s="301"/>
      <c r="AC31" s="79" t="b">
        <v>0</v>
      </c>
      <c r="AD31" s="79">
        <f>IF(AC31=TRUE,0.7,1)</f>
        <v>1</v>
      </c>
      <c r="AE31" s="79" t="str">
        <f>IF(AC31=TRUE,0,"セル")</f>
        <v>セル</v>
      </c>
    </row>
    <row r="32" spans="1:40" s="76" customFormat="1" ht="21.95" customHeight="1" thickBot="1">
      <c r="I32" s="302" t="s">
        <v>148</v>
      </c>
      <c r="J32" s="303"/>
      <c r="K32" s="303"/>
      <c r="L32" s="303"/>
      <c r="M32" s="303"/>
      <c r="N32" s="303"/>
      <c r="O32" s="303"/>
      <c r="P32" s="303"/>
      <c r="Q32" s="303"/>
      <c r="R32" s="303"/>
      <c r="S32" s="303"/>
      <c r="T32" s="355"/>
      <c r="U32" s="304">
        <f>SUM(U29:V31)</f>
        <v>0</v>
      </c>
      <c r="V32" s="304"/>
      <c r="W32" s="304">
        <f>SUM(W29:X31)</f>
        <v>0</v>
      </c>
      <c r="X32" s="304"/>
      <c r="Y32" s="304">
        <f>SUM(Y29:Z31)</f>
        <v>0</v>
      </c>
      <c r="Z32" s="305"/>
    </row>
    <row r="33" spans="1:26" s="76" customFormat="1" ht="9.9499999999999993" customHeight="1"/>
    <row r="34" spans="1:26" s="76" customFormat="1" ht="21.95" customHeight="1" thickBot="1">
      <c r="A34" s="77" t="s">
        <v>147</v>
      </c>
    </row>
    <row r="35" spans="1:26" s="76" customFormat="1" ht="21.95" customHeight="1">
      <c r="A35" s="309" t="s">
        <v>130</v>
      </c>
      <c r="B35" s="310"/>
      <c r="C35" s="323" t="s">
        <v>65</v>
      </c>
      <c r="D35" s="324"/>
      <c r="E35" s="324"/>
      <c r="F35" s="324"/>
      <c r="G35" s="324"/>
      <c r="H35" s="324"/>
      <c r="I35" s="325"/>
      <c r="J35" s="81"/>
      <c r="K35" s="319">
        <f>P35+T35+X35</f>
        <v>0</v>
      </c>
      <c r="L35" s="319"/>
      <c r="M35" s="319"/>
      <c r="N35" s="81" t="s">
        <v>24</v>
      </c>
      <c r="O35" s="82" t="s">
        <v>23</v>
      </c>
      <c r="P35" s="320">
        <f>C7*E7+C8*E8+C9*E9+C10*E10+C11*E11+C12*E12+C13*E13+C14*E14+C15*E15+C16*E16</f>
        <v>0</v>
      </c>
      <c r="Q35" s="320"/>
      <c r="R35" s="83" t="s">
        <v>25</v>
      </c>
      <c r="S35" s="83" t="s">
        <v>22</v>
      </c>
      <c r="T35" s="321">
        <f>M22*O22+M23*O23</f>
        <v>0</v>
      </c>
      <c r="U35" s="321"/>
      <c r="V35" s="83" t="s">
        <v>25</v>
      </c>
      <c r="W35" s="83" t="s">
        <v>1</v>
      </c>
      <c r="X35" s="322">
        <f>SUM(O29:P31)</f>
        <v>0</v>
      </c>
      <c r="Y35" s="322"/>
      <c r="Z35" s="84" t="s">
        <v>19</v>
      </c>
    </row>
    <row r="36" spans="1:26" s="76" customFormat="1" ht="21.95" customHeight="1">
      <c r="A36" s="311"/>
      <c r="B36" s="312"/>
      <c r="C36" s="315" t="s">
        <v>92</v>
      </c>
      <c r="D36" s="316"/>
      <c r="E36" s="316"/>
      <c r="F36" s="316"/>
      <c r="G36" s="316"/>
      <c r="H36" s="316"/>
      <c r="I36" s="317"/>
      <c r="J36" s="85"/>
      <c r="K36" s="85"/>
      <c r="L36" s="85"/>
      <c r="M36" s="85"/>
      <c r="N36" s="85"/>
      <c r="O36" s="85"/>
      <c r="P36" s="85"/>
      <c r="Q36" s="85"/>
      <c r="R36" s="85"/>
      <c r="S36" s="85"/>
      <c r="T36" s="85"/>
      <c r="U36" s="85"/>
      <c r="V36" s="318">
        <f>U17+U24+U32</f>
        <v>0</v>
      </c>
      <c r="W36" s="318"/>
      <c r="X36" s="318"/>
      <c r="Y36" s="85"/>
      <c r="Z36" s="86"/>
    </row>
    <row r="37" spans="1:26" s="76" customFormat="1" ht="21.95" customHeight="1">
      <c r="A37" s="311"/>
      <c r="B37" s="312"/>
      <c r="C37" s="315" t="s">
        <v>93</v>
      </c>
      <c r="D37" s="316"/>
      <c r="E37" s="316"/>
      <c r="F37" s="316"/>
      <c r="G37" s="316"/>
      <c r="H37" s="316"/>
      <c r="I37" s="317"/>
      <c r="J37" s="85"/>
      <c r="K37" s="85"/>
      <c r="L37" s="85"/>
      <c r="M37" s="85"/>
      <c r="N37" s="85"/>
      <c r="O37" s="85"/>
      <c r="P37" s="85"/>
      <c r="Q37" s="85"/>
      <c r="R37" s="85"/>
      <c r="S37" s="85"/>
      <c r="T37" s="85"/>
      <c r="U37" s="85"/>
      <c r="V37" s="318">
        <f>W17+W24+W32</f>
        <v>0</v>
      </c>
      <c r="W37" s="318"/>
      <c r="X37" s="318"/>
      <c r="Y37" s="85"/>
      <c r="Z37" s="86"/>
    </row>
    <row r="38" spans="1:26" s="76" customFormat="1" ht="21.95" customHeight="1" thickBot="1">
      <c r="A38" s="313"/>
      <c r="B38" s="314"/>
      <c r="C38" s="326" t="s">
        <v>20</v>
      </c>
      <c r="D38" s="327"/>
      <c r="E38" s="327"/>
      <c r="F38" s="327"/>
      <c r="G38" s="327"/>
      <c r="H38" s="327"/>
      <c r="I38" s="328"/>
      <c r="J38" s="87"/>
      <c r="K38" s="87"/>
      <c r="L38" s="87"/>
      <c r="M38" s="87"/>
      <c r="N38" s="87"/>
      <c r="O38" s="87"/>
      <c r="P38" s="87"/>
      <c r="Q38" s="87"/>
      <c r="R38" s="87"/>
      <c r="S38" s="87"/>
      <c r="T38" s="87"/>
      <c r="U38" s="87"/>
      <c r="V38" s="329">
        <f>Y17+Y24+Y32</f>
        <v>0</v>
      </c>
      <c r="W38" s="329"/>
      <c r="X38" s="329"/>
      <c r="Y38" s="88" t="s">
        <v>21</v>
      </c>
      <c r="Z38" s="89"/>
    </row>
    <row r="39" spans="1:26" s="76" customFormat="1" ht="21.95" customHeight="1"/>
    <row r="40" spans="1:26" s="76" customFormat="1" ht="21.95" customHeight="1"/>
    <row r="41" spans="1:26" s="76" customFormat="1" ht="21.95" customHeight="1"/>
    <row r="42" spans="1:26" s="76" customFormat="1" ht="21.95" customHeight="1"/>
    <row r="43" spans="1:26" s="76" customFormat="1" ht="21.95" customHeight="1"/>
    <row r="44" spans="1:26" s="76" customFormat="1" ht="21.95" customHeight="1"/>
    <row r="45" spans="1:26" s="76" customFormat="1" ht="21.95" customHeight="1"/>
    <row r="46" spans="1:26" s="76" customFormat="1" ht="21.95" customHeight="1"/>
    <row r="47" spans="1:26" s="76" customFormat="1" ht="21.95" customHeight="1"/>
    <row r="48" spans="1:26" s="76" customFormat="1" ht="21.95" customHeight="1"/>
    <row r="49" s="76" customFormat="1" ht="21.95" customHeight="1"/>
    <row r="50" s="76" customFormat="1" ht="21.95" customHeight="1"/>
    <row r="51" s="76" customFormat="1" ht="21.95" customHeight="1"/>
    <row r="52" s="76" customFormat="1" ht="21.95" customHeight="1"/>
    <row r="53" s="76" customFormat="1" ht="21.95" customHeight="1"/>
    <row r="54" s="76" customFormat="1" ht="21.95" customHeight="1"/>
    <row r="55" s="76" customFormat="1" ht="24.95" customHeight="1"/>
    <row r="56" s="76" customFormat="1" ht="24.95" customHeight="1"/>
    <row r="57" s="76" customFormat="1" ht="24.95" customHeight="1"/>
    <row r="58" s="76" customFormat="1" ht="24.95" customHeight="1"/>
    <row r="59" s="76" customFormat="1" ht="24.95" customHeight="1"/>
    <row r="60" s="76" customFormat="1" ht="24.95" customHeight="1"/>
    <row r="61" s="76" customFormat="1" ht="24.95" customHeight="1"/>
    <row r="62" s="76" customFormat="1" ht="24.95" customHeight="1"/>
    <row r="63" s="76" customFormat="1" ht="24.95" customHeight="1"/>
    <row r="64" s="76" customFormat="1" ht="24.95" customHeight="1"/>
    <row r="65" s="76" customFormat="1" ht="24.95" customHeight="1"/>
    <row r="66" s="76" customFormat="1" ht="24.95" customHeight="1"/>
    <row r="67" s="76" customFormat="1" ht="24.95" customHeight="1"/>
    <row r="68" s="76" customFormat="1" ht="24.95" customHeight="1"/>
    <row r="69" s="76" customFormat="1" ht="24.95" customHeight="1"/>
    <row r="70" s="76" customFormat="1" ht="24.95" customHeight="1"/>
    <row r="71" s="76" customFormat="1" ht="24.95" customHeight="1"/>
    <row r="72" s="76" customFormat="1" ht="24.95" customHeight="1"/>
    <row r="73" s="76" customFormat="1" ht="24.95" customHeight="1"/>
    <row r="74" s="76" customFormat="1" ht="24.95" customHeight="1"/>
    <row r="75" s="76" customFormat="1" ht="24.95" customHeight="1"/>
    <row r="76" s="76" customFormat="1" ht="24.95" customHeight="1"/>
    <row r="77" s="76" customFormat="1" ht="24.95" customHeight="1"/>
    <row r="78" s="76" customFormat="1" ht="24.95" customHeight="1"/>
    <row r="79" s="76" customFormat="1" ht="24.95" customHeight="1"/>
    <row r="80" s="76" customFormat="1" ht="24.95" customHeight="1"/>
    <row r="81" s="76" customFormat="1" ht="24.95" customHeight="1"/>
    <row r="82" s="76" customFormat="1" ht="24.95" customHeight="1"/>
    <row r="83" s="76" customFormat="1" ht="24.95" customHeight="1"/>
    <row r="84" s="76" customFormat="1" ht="24.95" customHeight="1"/>
    <row r="85" s="76" customFormat="1" ht="24.95" customHeight="1"/>
    <row r="86" s="76" customFormat="1" ht="24.95" customHeight="1"/>
    <row r="87" s="76" customFormat="1" ht="24.95" customHeight="1"/>
    <row r="88" s="90" customFormat="1" ht="24.95" customHeight="1"/>
    <row r="89" s="90" customFormat="1" ht="24.95" customHeight="1"/>
    <row r="90" ht="24.95" customHeight="1"/>
    <row r="91" ht="24.95" customHeight="1"/>
    <row r="92" ht="24.95" customHeight="1"/>
    <row r="93" ht="24.95" customHeight="1"/>
    <row r="94" ht="24.95" customHeight="1"/>
    <row r="95" ht="24.95" customHeight="1"/>
    <row r="96" ht="24.95" customHeight="1"/>
    <row r="97" ht="24.95" customHeight="1"/>
    <row r="98" ht="24.95" customHeight="1"/>
    <row r="99" ht="24.95" customHeight="1"/>
    <row r="100" ht="24.95" customHeight="1"/>
  </sheetData>
  <sheetProtection sheet="1" objects="1" scenarios="1"/>
  <mergeCells count="241">
    <mergeCell ref="I23:L23"/>
    <mergeCell ref="I27:J28"/>
    <mergeCell ref="I24:T24"/>
    <mergeCell ref="I32:T32"/>
    <mergeCell ref="C5:D6"/>
    <mergeCell ref="E5:F6"/>
    <mergeCell ref="M5:N6"/>
    <mergeCell ref="O5:T5"/>
    <mergeCell ref="M7:N7"/>
    <mergeCell ref="O7:P7"/>
    <mergeCell ref="S9:T9"/>
    <mergeCell ref="S11:T11"/>
    <mergeCell ref="S13:T13"/>
    <mergeCell ref="M22:N22"/>
    <mergeCell ref="O22:P22"/>
    <mergeCell ref="Q22:R22"/>
    <mergeCell ref="S22:T22"/>
    <mergeCell ref="I20:L21"/>
    <mergeCell ref="I22:L22"/>
    <mergeCell ref="K30:L30"/>
    <mergeCell ref="M30:N30"/>
    <mergeCell ref="O30:P30"/>
    <mergeCell ref="I30:J30"/>
    <mergeCell ref="I29:J29"/>
    <mergeCell ref="A1:Z1"/>
    <mergeCell ref="Q3:T3"/>
    <mergeCell ref="U3:V3"/>
    <mergeCell ref="W3:X3"/>
    <mergeCell ref="A4:B6"/>
    <mergeCell ref="C4:F4"/>
    <mergeCell ref="G4:H6"/>
    <mergeCell ref="I4:J6"/>
    <mergeCell ref="K4:L6"/>
    <mergeCell ref="M4:T4"/>
    <mergeCell ref="I7:J7"/>
    <mergeCell ref="K7:L7"/>
    <mergeCell ref="Q7:R7"/>
    <mergeCell ref="S7:T7"/>
    <mergeCell ref="U7:V7"/>
    <mergeCell ref="AC5:AD5"/>
    <mergeCell ref="AG5:AH5"/>
    <mergeCell ref="AJ5:AK5"/>
    <mergeCell ref="AM5:AN5"/>
    <mergeCell ref="O6:P6"/>
    <mergeCell ref="Q6:R6"/>
    <mergeCell ref="S6:T6"/>
    <mergeCell ref="U4:V6"/>
    <mergeCell ref="W4:X6"/>
    <mergeCell ref="Y4:Z6"/>
    <mergeCell ref="I9:J9"/>
    <mergeCell ref="K9:L9"/>
    <mergeCell ref="M9:N9"/>
    <mergeCell ref="O9:P9"/>
    <mergeCell ref="Q9:R9"/>
    <mergeCell ref="W7:X7"/>
    <mergeCell ref="Y7:Z7"/>
    <mergeCell ref="A8:B8"/>
    <mergeCell ref="C8:D8"/>
    <mergeCell ref="E8:F8"/>
    <mergeCell ref="G8:H8"/>
    <mergeCell ref="I8:J8"/>
    <mergeCell ref="K8:L8"/>
    <mergeCell ref="M8:N8"/>
    <mergeCell ref="O8:P8"/>
    <mergeCell ref="Q8:R8"/>
    <mergeCell ref="S8:T8"/>
    <mergeCell ref="U8:V8"/>
    <mergeCell ref="W8:X8"/>
    <mergeCell ref="Y8:Z8"/>
    <mergeCell ref="A7:B7"/>
    <mergeCell ref="C7:D7"/>
    <mergeCell ref="E7:F7"/>
    <mergeCell ref="G7:H7"/>
    <mergeCell ref="K11:L11"/>
    <mergeCell ref="M11:N11"/>
    <mergeCell ref="O11:P11"/>
    <mergeCell ref="Q11:R11"/>
    <mergeCell ref="U9:V9"/>
    <mergeCell ref="W9:X9"/>
    <mergeCell ref="Y9:Z9"/>
    <mergeCell ref="A10:B10"/>
    <mergeCell ref="C10:D10"/>
    <mergeCell ref="E10:F10"/>
    <mergeCell ref="G10:H10"/>
    <mergeCell ref="I10:J10"/>
    <mergeCell ref="K10:L10"/>
    <mergeCell ref="M10:N10"/>
    <mergeCell ref="O10:P10"/>
    <mergeCell ref="Q10:R10"/>
    <mergeCell ref="S10:T10"/>
    <mergeCell ref="U10:V10"/>
    <mergeCell ref="W10:X10"/>
    <mergeCell ref="Y10:Z10"/>
    <mergeCell ref="A9:B9"/>
    <mergeCell ref="C9:D9"/>
    <mergeCell ref="E9:F9"/>
    <mergeCell ref="G9:H9"/>
    <mergeCell ref="M13:N13"/>
    <mergeCell ref="O13:P13"/>
    <mergeCell ref="Q13:R13"/>
    <mergeCell ref="U11:V11"/>
    <mergeCell ref="W11:X11"/>
    <mergeCell ref="Y11:Z11"/>
    <mergeCell ref="A12:B12"/>
    <mergeCell ref="C12:D12"/>
    <mergeCell ref="E12:F12"/>
    <mergeCell ref="G12:H12"/>
    <mergeCell ref="I12:J12"/>
    <mergeCell ref="K12:L12"/>
    <mergeCell ref="M12:N12"/>
    <mergeCell ref="O12:P12"/>
    <mergeCell ref="Q12:R12"/>
    <mergeCell ref="S12:T12"/>
    <mergeCell ref="U12:V12"/>
    <mergeCell ref="W12:X12"/>
    <mergeCell ref="Y12:Z12"/>
    <mergeCell ref="A11:B11"/>
    <mergeCell ref="C11:D11"/>
    <mergeCell ref="E11:F11"/>
    <mergeCell ref="G11:H11"/>
    <mergeCell ref="I11:J11"/>
    <mergeCell ref="Y15:Z15"/>
    <mergeCell ref="W15:X15"/>
    <mergeCell ref="U13:V13"/>
    <mergeCell ref="W13:X13"/>
    <mergeCell ref="Y13:Z13"/>
    <mergeCell ref="A14:B14"/>
    <mergeCell ref="C14:D14"/>
    <mergeCell ref="E14:F14"/>
    <mergeCell ref="G14:H14"/>
    <mergeCell ref="I14:J14"/>
    <mergeCell ref="K14:L14"/>
    <mergeCell ref="M14:N14"/>
    <mergeCell ref="O14:P14"/>
    <mergeCell ref="Q14:R14"/>
    <mergeCell ref="S14:T14"/>
    <mergeCell ref="U14:V14"/>
    <mergeCell ref="W14:X14"/>
    <mergeCell ref="Y14:Z14"/>
    <mergeCell ref="A13:B13"/>
    <mergeCell ref="C13:D13"/>
    <mergeCell ref="E13:F13"/>
    <mergeCell ref="G13:H13"/>
    <mergeCell ref="I13:J13"/>
    <mergeCell ref="K13:L13"/>
    <mergeCell ref="Q15:R15"/>
    <mergeCell ref="S15:T15"/>
    <mergeCell ref="U15:V15"/>
    <mergeCell ref="A15:B15"/>
    <mergeCell ref="C15:D15"/>
    <mergeCell ref="E15:F15"/>
    <mergeCell ref="G15:H15"/>
    <mergeCell ref="I15:J15"/>
    <mergeCell ref="K15:L15"/>
    <mergeCell ref="M15:N15"/>
    <mergeCell ref="O15:P15"/>
    <mergeCell ref="W16:X16"/>
    <mergeCell ref="Y16:Z16"/>
    <mergeCell ref="A17:T17"/>
    <mergeCell ref="U17:V17"/>
    <mergeCell ref="W17:X17"/>
    <mergeCell ref="Y17:Z17"/>
    <mergeCell ref="K16:L16"/>
    <mergeCell ref="M16:N16"/>
    <mergeCell ref="O16:P16"/>
    <mergeCell ref="Q16:R16"/>
    <mergeCell ref="A16:B16"/>
    <mergeCell ref="C16:D16"/>
    <mergeCell ref="E16:F16"/>
    <mergeCell ref="G16:H16"/>
    <mergeCell ref="I16:J16"/>
    <mergeCell ref="S16:T16"/>
    <mergeCell ref="U16:V16"/>
    <mergeCell ref="AM18:AN18"/>
    <mergeCell ref="M20:P20"/>
    <mergeCell ref="Q20:R21"/>
    <mergeCell ref="S20:T21"/>
    <mergeCell ref="U20:V21"/>
    <mergeCell ref="W20:X21"/>
    <mergeCell ref="Y20:Z21"/>
    <mergeCell ref="AM20:AN20"/>
    <mergeCell ref="M21:N21"/>
    <mergeCell ref="O21:P21"/>
    <mergeCell ref="U22:V22"/>
    <mergeCell ref="W22:X22"/>
    <mergeCell ref="Y22:Z22"/>
    <mergeCell ref="M23:N23"/>
    <mergeCell ref="O23:P23"/>
    <mergeCell ref="Q23:R23"/>
    <mergeCell ref="S23:T23"/>
    <mergeCell ref="U23:V23"/>
    <mergeCell ref="W23:X23"/>
    <mergeCell ref="Y23:Z23"/>
    <mergeCell ref="U24:V24"/>
    <mergeCell ref="W24:X24"/>
    <mergeCell ref="Y24:Z24"/>
    <mergeCell ref="K27:L28"/>
    <mergeCell ref="M27:N28"/>
    <mergeCell ref="O27:P28"/>
    <mergeCell ref="Q27:R28"/>
    <mergeCell ref="S27:T28"/>
    <mergeCell ref="K29:L29"/>
    <mergeCell ref="M29:N29"/>
    <mergeCell ref="O29:P29"/>
    <mergeCell ref="Q29:R29"/>
    <mergeCell ref="S29:T29"/>
    <mergeCell ref="U29:V29"/>
    <mergeCell ref="W30:X30"/>
    <mergeCell ref="Y30:Z30"/>
    <mergeCell ref="U27:V28"/>
    <mergeCell ref="W27:X28"/>
    <mergeCell ref="Y27:Z28"/>
    <mergeCell ref="W29:X29"/>
    <mergeCell ref="Q31:R31"/>
    <mergeCell ref="S31:T31"/>
    <mergeCell ref="U31:V31"/>
    <mergeCell ref="Y29:Z29"/>
    <mergeCell ref="Q30:R30"/>
    <mergeCell ref="S30:T30"/>
    <mergeCell ref="U30:V30"/>
    <mergeCell ref="W31:X31"/>
    <mergeCell ref="Y31:Z31"/>
    <mergeCell ref="U32:V32"/>
    <mergeCell ref="W32:X32"/>
    <mergeCell ref="Y32:Z32"/>
    <mergeCell ref="K31:L31"/>
    <mergeCell ref="M31:N31"/>
    <mergeCell ref="O31:P31"/>
    <mergeCell ref="I31:J31"/>
    <mergeCell ref="C38:I38"/>
    <mergeCell ref="V38:X38"/>
    <mergeCell ref="A35:B38"/>
    <mergeCell ref="C35:I35"/>
    <mergeCell ref="K35:M35"/>
    <mergeCell ref="P35:Q35"/>
    <mergeCell ref="T35:U35"/>
    <mergeCell ref="X35:Y35"/>
    <mergeCell ref="C36:I36"/>
    <mergeCell ref="V36:X36"/>
    <mergeCell ref="C37:I37"/>
    <mergeCell ref="V37:X37"/>
  </mergeCells>
  <phoneticPr fontId="2"/>
  <conditionalFormatting sqref="U17:V17">
    <cfRule type="expression" dxfId="213" priority="46" stopIfTrue="1">
      <formula>$U$17=0</formula>
    </cfRule>
  </conditionalFormatting>
  <conditionalFormatting sqref="W17:X17">
    <cfRule type="expression" dxfId="212" priority="45" stopIfTrue="1">
      <formula>$W$17=0</formula>
    </cfRule>
  </conditionalFormatting>
  <conditionalFormatting sqref="Y17:Z17">
    <cfRule type="expression" dxfId="211" priority="44" stopIfTrue="1">
      <formula>$Y$17=0</formula>
    </cfRule>
  </conditionalFormatting>
  <conditionalFormatting sqref="U24:V24">
    <cfRule type="expression" dxfId="210" priority="43" stopIfTrue="1">
      <formula>$U$24:$V$24=0</formula>
    </cfRule>
  </conditionalFormatting>
  <conditionalFormatting sqref="U32:V32">
    <cfRule type="expression" dxfId="209" priority="42" stopIfTrue="1">
      <formula>$U$32:$V$32=0</formula>
    </cfRule>
  </conditionalFormatting>
  <conditionalFormatting sqref="X35:Y35">
    <cfRule type="expression" dxfId="208" priority="41" stopIfTrue="1">
      <formula>$X$35=0</formula>
    </cfRule>
  </conditionalFormatting>
  <conditionalFormatting sqref="P35:Q35">
    <cfRule type="expression" dxfId="207" priority="40" stopIfTrue="1">
      <formula>$P$35=0</formula>
    </cfRule>
  </conditionalFormatting>
  <conditionalFormatting sqref="T35:U35">
    <cfRule type="expression" dxfId="206" priority="39" stopIfTrue="1">
      <formula>$T$35=0</formula>
    </cfRule>
  </conditionalFormatting>
  <conditionalFormatting sqref="K35:M35">
    <cfRule type="expression" dxfId="205" priority="38" stopIfTrue="1">
      <formula>$K$35=0</formula>
    </cfRule>
  </conditionalFormatting>
  <conditionalFormatting sqref="W7:X7">
    <cfRule type="expression" dxfId="204" priority="36" stopIfTrue="1">
      <formula>#VALUE!</formula>
    </cfRule>
    <cfRule type="expression" dxfId="203" priority="37" stopIfTrue="1">
      <formula>#VALUE!</formula>
    </cfRule>
  </conditionalFormatting>
  <conditionalFormatting sqref="W16:X16">
    <cfRule type="expression" dxfId="202" priority="35" stopIfTrue="1">
      <formula>#VALUE!</formula>
    </cfRule>
  </conditionalFormatting>
  <conditionalFormatting sqref="W24:X24">
    <cfRule type="expression" dxfId="201" priority="24" stopIfTrue="1">
      <formula>$W$24:$X$24=0</formula>
    </cfRule>
  </conditionalFormatting>
  <conditionalFormatting sqref="Y24:Z24">
    <cfRule type="expression" dxfId="200" priority="23" stopIfTrue="1">
      <formula>$Y$24:$Z$24=0</formula>
    </cfRule>
  </conditionalFormatting>
  <conditionalFormatting sqref="W32:X32">
    <cfRule type="expression" dxfId="199" priority="22" stopIfTrue="1">
      <formula>$W$32:$X$32=0</formula>
    </cfRule>
  </conditionalFormatting>
  <conditionalFormatting sqref="Y32:Z32">
    <cfRule type="expression" dxfId="198" priority="21" stopIfTrue="1">
      <formula>$Y$32:$Z$32=0</formula>
    </cfRule>
  </conditionalFormatting>
  <conditionalFormatting sqref="O7:T7">
    <cfRule type="expression" dxfId="197" priority="10" stopIfTrue="1">
      <formula>$AF$7=TRUE</formula>
    </cfRule>
  </conditionalFormatting>
  <conditionalFormatting sqref="O12:T12">
    <cfRule type="expression" dxfId="196" priority="9" stopIfTrue="1">
      <formula>$AF$12=TRUE</formula>
    </cfRule>
  </conditionalFormatting>
  <conditionalFormatting sqref="O13:T13">
    <cfRule type="expression" dxfId="195" priority="8" stopIfTrue="1">
      <formula>$AF$13=TRUE</formula>
    </cfRule>
  </conditionalFormatting>
  <conditionalFormatting sqref="O14:T14">
    <cfRule type="expression" dxfId="194" priority="7" stopIfTrue="1">
      <formula>$AF$14=TRUE</formula>
    </cfRule>
  </conditionalFormatting>
  <conditionalFormatting sqref="O15:T15">
    <cfRule type="expression" dxfId="193" priority="6" stopIfTrue="1">
      <formula>$AF$15=TRUE</formula>
    </cfRule>
  </conditionalFormatting>
  <conditionalFormatting sqref="O16:T16">
    <cfRule type="expression" dxfId="192" priority="5" stopIfTrue="1">
      <formula>$AF$16=TRUE</formula>
    </cfRule>
  </conditionalFormatting>
  <conditionalFormatting sqref="O9:T9">
    <cfRule type="expression" dxfId="191" priority="4" stopIfTrue="1">
      <formula>$AF$9=TRUE</formula>
    </cfRule>
  </conditionalFormatting>
  <conditionalFormatting sqref="O10:T10">
    <cfRule type="expression" dxfId="190" priority="3" stopIfTrue="1">
      <formula>$AF$10=TRUE</formula>
    </cfRule>
  </conditionalFormatting>
  <conditionalFormatting sqref="O11:T11">
    <cfRule type="expression" dxfId="189" priority="2" stopIfTrue="1">
      <formula>$AF$11=TRUE</formula>
    </cfRule>
  </conditionalFormatting>
  <conditionalFormatting sqref="O8:T8">
    <cfRule type="expression" dxfId="188" priority="1" stopIfTrue="1">
      <formula>$AF$8=TRUE</formula>
    </cfRule>
  </conditionalFormatting>
  <dataValidations count="1">
    <dataValidation type="list" allowBlank="1" showInputMessage="1" showErrorMessage="1" sqref="S22:T23 K7:L16">
      <formula1>"　,雨戸,ｼｬｯﾀｰ,障子,風除室"</formula1>
    </dataValidation>
  </dataValidations>
  <pageMargins left="0.59055118110236227" right="0.39370078740157483" top="0.98425196850393704" bottom="0.78740157480314965" header="0.31496062992125984" footer="0.39370078740157483"/>
  <pageSetup paperSize="9" scale="90" orientation="portrait" horizontalDpi="300" verticalDpi="300" r:id="rId1"/>
  <headerFooter>
    <oddHeader>&amp;Rver. 1.3 (excel2007)[H28]</oddHeader>
    <oddFooter>&amp;Cⓒ　2013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8305" r:id="rId4" name="Check Box 1">
              <controlPr defaultSize="0" autoFill="0" autoLine="0" autoPict="0">
                <anchor moveWithCells="1">
                  <from>
                    <xdr:col>12</xdr:col>
                    <xdr:colOff>190500</xdr:colOff>
                    <xdr:row>6</xdr:row>
                    <xdr:rowOff>47625</xdr:rowOff>
                  </from>
                  <to>
                    <xdr:col>13</xdr:col>
                    <xdr:colOff>200025</xdr:colOff>
                    <xdr:row>6</xdr:row>
                    <xdr:rowOff>257175</xdr:rowOff>
                  </to>
                </anchor>
              </controlPr>
            </control>
          </mc:Choice>
        </mc:AlternateContent>
        <mc:AlternateContent xmlns:mc="http://schemas.openxmlformats.org/markup-compatibility/2006">
          <mc:Choice Requires="x14">
            <control shapeId="98306" r:id="rId5" name="Check Box 2">
              <controlPr defaultSize="0" autoFill="0" autoLine="0" autoPict="0">
                <anchor moveWithCells="1">
                  <from>
                    <xdr:col>12</xdr:col>
                    <xdr:colOff>190500</xdr:colOff>
                    <xdr:row>7</xdr:row>
                    <xdr:rowOff>47625</xdr:rowOff>
                  </from>
                  <to>
                    <xdr:col>13</xdr:col>
                    <xdr:colOff>200025</xdr:colOff>
                    <xdr:row>7</xdr:row>
                    <xdr:rowOff>257175</xdr:rowOff>
                  </to>
                </anchor>
              </controlPr>
            </control>
          </mc:Choice>
        </mc:AlternateContent>
        <mc:AlternateContent xmlns:mc="http://schemas.openxmlformats.org/markup-compatibility/2006">
          <mc:Choice Requires="x14">
            <control shapeId="98307" r:id="rId6" name="Check Box 3">
              <controlPr defaultSize="0" autoFill="0" autoLine="0" autoPict="0">
                <anchor moveWithCells="1">
                  <from>
                    <xdr:col>12</xdr:col>
                    <xdr:colOff>190500</xdr:colOff>
                    <xdr:row>11</xdr:row>
                    <xdr:rowOff>47625</xdr:rowOff>
                  </from>
                  <to>
                    <xdr:col>13</xdr:col>
                    <xdr:colOff>200025</xdr:colOff>
                    <xdr:row>11</xdr:row>
                    <xdr:rowOff>257175</xdr:rowOff>
                  </to>
                </anchor>
              </controlPr>
            </control>
          </mc:Choice>
        </mc:AlternateContent>
        <mc:AlternateContent xmlns:mc="http://schemas.openxmlformats.org/markup-compatibility/2006">
          <mc:Choice Requires="x14">
            <control shapeId="98308" r:id="rId7" name="Check Box 4">
              <controlPr defaultSize="0" autoFill="0" autoLine="0" autoPict="0">
                <anchor moveWithCells="1">
                  <from>
                    <xdr:col>12</xdr:col>
                    <xdr:colOff>190500</xdr:colOff>
                    <xdr:row>12</xdr:row>
                    <xdr:rowOff>47625</xdr:rowOff>
                  </from>
                  <to>
                    <xdr:col>13</xdr:col>
                    <xdr:colOff>200025</xdr:colOff>
                    <xdr:row>12</xdr:row>
                    <xdr:rowOff>257175</xdr:rowOff>
                  </to>
                </anchor>
              </controlPr>
            </control>
          </mc:Choice>
        </mc:AlternateContent>
        <mc:AlternateContent xmlns:mc="http://schemas.openxmlformats.org/markup-compatibility/2006">
          <mc:Choice Requires="x14">
            <control shapeId="98309" r:id="rId8" name="Check Box 5">
              <controlPr defaultSize="0" autoFill="0" autoLine="0" autoPict="0">
                <anchor moveWithCells="1">
                  <from>
                    <xdr:col>12</xdr:col>
                    <xdr:colOff>190500</xdr:colOff>
                    <xdr:row>13</xdr:row>
                    <xdr:rowOff>47625</xdr:rowOff>
                  </from>
                  <to>
                    <xdr:col>13</xdr:col>
                    <xdr:colOff>200025</xdr:colOff>
                    <xdr:row>13</xdr:row>
                    <xdr:rowOff>257175</xdr:rowOff>
                  </to>
                </anchor>
              </controlPr>
            </control>
          </mc:Choice>
        </mc:AlternateContent>
        <mc:AlternateContent xmlns:mc="http://schemas.openxmlformats.org/markup-compatibility/2006">
          <mc:Choice Requires="x14">
            <control shapeId="98310" r:id="rId9" name="Check Box 6">
              <controlPr defaultSize="0" autoFill="0" autoLine="0" autoPict="0">
                <anchor moveWithCells="1">
                  <from>
                    <xdr:col>12</xdr:col>
                    <xdr:colOff>190500</xdr:colOff>
                    <xdr:row>14</xdr:row>
                    <xdr:rowOff>47625</xdr:rowOff>
                  </from>
                  <to>
                    <xdr:col>13</xdr:col>
                    <xdr:colOff>200025</xdr:colOff>
                    <xdr:row>14</xdr:row>
                    <xdr:rowOff>257175</xdr:rowOff>
                  </to>
                </anchor>
              </controlPr>
            </control>
          </mc:Choice>
        </mc:AlternateContent>
        <mc:AlternateContent xmlns:mc="http://schemas.openxmlformats.org/markup-compatibility/2006">
          <mc:Choice Requires="x14">
            <control shapeId="98311" r:id="rId10" name="Check Box 7">
              <controlPr defaultSize="0" autoFill="0" autoLine="0" autoPict="0">
                <anchor moveWithCells="1">
                  <from>
                    <xdr:col>12</xdr:col>
                    <xdr:colOff>190500</xdr:colOff>
                    <xdr:row>15</xdr:row>
                    <xdr:rowOff>47625</xdr:rowOff>
                  </from>
                  <to>
                    <xdr:col>13</xdr:col>
                    <xdr:colOff>200025</xdr:colOff>
                    <xdr:row>15</xdr:row>
                    <xdr:rowOff>257175</xdr:rowOff>
                  </to>
                </anchor>
              </controlPr>
            </control>
          </mc:Choice>
        </mc:AlternateContent>
        <mc:AlternateContent xmlns:mc="http://schemas.openxmlformats.org/markup-compatibility/2006">
          <mc:Choice Requires="x14">
            <control shapeId="98312" r:id="rId11" name="Check Box 8">
              <controlPr defaultSize="0" autoFill="0" autoLine="0" autoPict="0">
                <anchor moveWithCells="1">
                  <from>
                    <xdr:col>12</xdr:col>
                    <xdr:colOff>190500</xdr:colOff>
                    <xdr:row>8</xdr:row>
                    <xdr:rowOff>47625</xdr:rowOff>
                  </from>
                  <to>
                    <xdr:col>13</xdr:col>
                    <xdr:colOff>200025</xdr:colOff>
                    <xdr:row>8</xdr:row>
                    <xdr:rowOff>257175</xdr:rowOff>
                  </to>
                </anchor>
              </controlPr>
            </control>
          </mc:Choice>
        </mc:AlternateContent>
        <mc:AlternateContent xmlns:mc="http://schemas.openxmlformats.org/markup-compatibility/2006">
          <mc:Choice Requires="x14">
            <control shapeId="98313" r:id="rId12" name="Check Box 9">
              <controlPr defaultSize="0" autoFill="0" autoLine="0" autoPict="0">
                <anchor moveWithCells="1">
                  <from>
                    <xdr:col>12</xdr:col>
                    <xdr:colOff>190500</xdr:colOff>
                    <xdr:row>9</xdr:row>
                    <xdr:rowOff>47625</xdr:rowOff>
                  </from>
                  <to>
                    <xdr:col>13</xdr:col>
                    <xdr:colOff>200025</xdr:colOff>
                    <xdr:row>9</xdr:row>
                    <xdr:rowOff>257175</xdr:rowOff>
                  </to>
                </anchor>
              </controlPr>
            </control>
          </mc:Choice>
        </mc:AlternateContent>
        <mc:AlternateContent xmlns:mc="http://schemas.openxmlformats.org/markup-compatibility/2006">
          <mc:Choice Requires="x14">
            <control shapeId="98314" r:id="rId13" name="Check Box 10">
              <controlPr defaultSize="0" autoFill="0" autoLine="0" autoPict="0">
                <anchor moveWithCells="1">
                  <from>
                    <xdr:col>12</xdr:col>
                    <xdr:colOff>190500</xdr:colOff>
                    <xdr:row>10</xdr:row>
                    <xdr:rowOff>47625</xdr:rowOff>
                  </from>
                  <to>
                    <xdr:col>13</xdr:col>
                    <xdr:colOff>200025</xdr:colOff>
                    <xdr:row>10</xdr:row>
                    <xdr:rowOff>257175</xdr:rowOff>
                  </to>
                </anchor>
              </controlPr>
            </control>
          </mc:Choice>
        </mc:AlternateContent>
        <mc:AlternateContent xmlns:mc="http://schemas.openxmlformats.org/markup-compatibility/2006">
          <mc:Choice Requires="x14">
            <control shapeId="98326" r:id="rId14" name="Check Box 22">
              <controlPr defaultSize="0" autoFill="0" autoLine="0" autoPict="0">
                <anchor moveWithCells="1">
                  <from>
                    <xdr:col>18</xdr:col>
                    <xdr:colOff>190500</xdr:colOff>
                    <xdr:row>28</xdr:row>
                    <xdr:rowOff>47625</xdr:rowOff>
                  </from>
                  <to>
                    <xdr:col>19</xdr:col>
                    <xdr:colOff>200025</xdr:colOff>
                    <xdr:row>28</xdr:row>
                    <xdr:rowOff>257175</xdr:rowOff>
                  </to>
                </anchor>
              </controlPr>
            </control>
          </mc:Choice>
        </mc:AlternateContent>
        <mc:AlternateContent xmlns:mc="http://schemas.openxmlformats.org/markup-compatibility/2006">
          <mc:Choice Requires="x14">
            <control shapeId="98327" r:id="rId15" name="Check Box 23">
              <controlPr defaultSize="0" autoFill="0" autoLine="0" autoPict="0">
                <anchor moveWithCells="1">
                  <from>
                    <xdr:col>18</xdr:col>
                    <xdr:colOff>190500</xdr:colOff>
                    <xdr:row>29</xdr:row>
                    <xdr:rowOff>47625</xdr:rowOff>
                  </from>
                  <to>
                    <xdr:col>19</xdr:col>
                    <xdr:colOff>200025</xdr:colOff>
                    <xdr:row>29</xdr:row>
                    <xdr:rowOff>257175</xdr:rowOff>
                  </to>
                </anchor>
              </controlPr>
            </control>
          </mc:Choice>
        </mc:AlternateContent>
        <mc:AlternateContent xmlns:mc="http://schemas.openxmlformats.org/markup-compatibility/2006">
          <mc:Choice Requires="x14">
            <control shapeId="98328" r:id="rId16" name="Check Box 24">
              <controlPr defaultSize="0" autoFill="0" autoLine="0" autoPict="0">
                <anchor moveWithCells="1">
                  <from>
                    <xdr:col>18</xdr:col>
                    <xdr:colOff>190500</xdr:colOff>
                    <xdr:row>30</xdr:row>
                    <xdr:rowOff>47625</xdr:rowOff>
                  </from>
                  <to>
                    <xdr:col>19</xdr:col>
                    <xdr:colOff>200025</xdr:colOff>
                    <xdr:row>30</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0"/>
  <sheetViews>
    <sheetView zoomScaleNormal="100" workbookViewId="0">
      <selection sqref="A1:Z1"/>
    </sheetView>
  </sheetViews>
  <sheetFormatPr defaultRowHeight="13.5"/>
  <cols>
    <col min="1" max="28" width="3.875" style="91" customWidth="1"/>
    <col min="29" max="30" width="10.625" style="91" hidden="1" customWidth="1"/>
    <col min="31" max="31" width="2.625" style="91" hidden="1" customWidth="1"/>
    <col min="32" max="34" width="10.625" style="91" hidden="1" customWidth="1"/>
    <col min="35" max="35" width="2.625" style="91" hidden="1" customWidth="1"/>
    <col min="36" max="37" width="15.625" style="91" hidden="1" customWidth="1"/>
    <col min="38" max="38" width="2.625" style="91" hidden="1" customWidth="1"/>
    <col min="39" max="40" width="10.625" style="91" hidden="1" customWidth="1"/>
    <col min="41" max="42" width="3.625" style="91" customWidth="1"/>
    <col min="43" max="48" width="4.625" style="91" customWidth="1"/>
    <col min="49" max="16384" width="9" style="91"/>
  </cols>
  <sheetData>
    <row r="1" spans="1:40" s="75" customFormat="1" ht="30" customHeight="1">
      <c r="A1" s="228" t="s">
        <v>138</v>
      </c>
      <c r="B1" s="228"/>
      <c r="C1" s="228"/>
      <c r="D1" s="228"/>
      <c r="E1" s="228"/>
      <c r="F1" s="228"/>
      <c r="G1" s="228"/>
      <c r="H1" s="228"/>
      <c r="I1" s="228"/>
      <c r="J1" s="228"/>
      <c r="K1" s="228"/>
      <c r="L1" s="228"/>
      <c r="M1" s="228"/>
      <c r="N1" s="228"/>
      <c r="O1" s="228"/>
      <c r="P1" s="228"/>
      <c r="Q1" s="228"/>
      <c r="R1" s="228"/>
      <c r="S1" s="228"/>
      <c r="T1" s="228"/>
      <c r="U1" s="228"/>
      <c r="V1" s="228"/>
      <c r="W1" s="228"/>
      <c r="X1" s="228"/>
      <c r="Y1" s="228"/>
      <c r="Z1" s="228"/>
    </row>
    <row r="2" spans="1:40" s="76" customFormat="1" ht="24.95" customHeight="1" thickBot="1"/>
    <row r="3" spans="1:40" s="76" customFormat="1" ht="21.95" customHeight="1" thickBot="1">
      <c r="A3" s="77" t="s">
        <v>5</v>
      </c>
      <c r="Q3" s="229" t="s">
        <v>37</v>
      </c>
      <c r="R3" s="230"/>
      <c r="S3" s="230"/>
      <c r="T3" s="231"/>
      <c r="U3" s="372" t="b">
        <f>IF(共通条件・結果!Z6="８地域","0.515",IF(共通条件・結果!Z6="７地域",0.509,IF(共通条件・結果!Z6="６地域",0.512,IF(共通条件・結果!Z6="５地域",0.5,IF(共通条件・結果!Z6="４地域",0.518,IF(共通条件・結果!Z6="３地域",0.468,IF(共通条件・結果!Z6="２地域",0.503,IF(共通条件・結果!Z6="１地域",0.545))))))))</f>
        <v>0</v>
      </c>
      <c r="V3" s="373"/>
      <c r="W3" s="372" t="b">
        <f>IF(共通条件・結果!Z6="８地域","-",IF(共通条件・結果!Z6="７地域",0.543,IF(共通条件・結果!Z6="６地域",0.579,IF(共通条件・結果!Z6="５地域",0.568,IF(共通条件・結果!Z6="４地域",0.531,IF(共通条件・結果!Z6="３地域",0.54,IF(共通条件・結果!Z6="２地域",0.554,IF(共通条件・結果!Z6="１地域",0.564))))))))</f>
        <v>0</v>
      </c>
      <c r="X3" s="373"/>
    </row>
    <row r="4" spans="1:40" s="76" customFormat="1" ht="21.95" customHeight="1">
      <c r="A4" s="236" t="s">
        <v>6</v>
      </c>
      <c r="B4" s="237"/>
      <c r="C4" s="237" t="s">
        <v>113</v>
      </c>
      <c r="D4" s="237"/>
      <c r="E4" s="237"/>
      <c r="F4" s="237"/>
      <c r="G4" s="237" t="s">
        <v>7</v>
      </c>
      <c r="H4" s="237"/>
      <c r="I4" s="254" t="s">
        <v>127</v>
      </c>
      <c r="J4" s="237"/>
      <c r="K4" s="254" t="s">
        <v>10</v>
      </c>
      <c r="L4" s="237"/>
      <c r="M4" s="262" t="s">
        <v>91</v>
      </c>
      <c r="N4" s="263"/>
      <c r="O4" s="263"/>
      <c r="P4" s="263"/>
      <c r="Q4" s="263"/>
      <c r="R4" s="263"/>
      <c r="S4" s="263"/>
      <c r="T4" s="263"/>
      <c r="U4" s="254" t="s">
        <v>86</v>
      </c>
      <c r="V4" s="237"/>
      <c r="W4" s="254" t="s">
        <v>87</v>
      </c>
      <c r="X4" s="237"/>
      <c r="Y4" s="237" t="s">
        <v>13</v>
      </c>
      <c r="Z4" s="256"/>
    </row>
    <row r="5" spans="1:40" s="76" customFormat="1" ht="21.95" customHeight="1">
      <c r="A5" s="238"/>
      <c r="B5" s="239"/>
      <c r="C5" s="242" t="s">
        <v>9</v>
      </c>
      <c r="D5" s="243"/>
      <c r="E5" s="246" t="s">
        <v>8</v>
      </c>
      <c r="F5" s="247"/>
      <c r="G5" s="239"/>
      <c r="H5" s="239"/>
      <c r="I5" s="255"/>
      <c r="J5" s="239"/>
      <c r="K5" s="255"/>
      <c r="L5" s="239"/>
      <c r="M5" s="250" t="s">
        <v>89</v>
      </c>
      <c r="N5" s="251"/>
      <c r="O5" s="259" t="s">
        <v>90</v>
      </c>
      <c r="P5" s="260"/>
      <c r="Q5" s="260"/>
      <c r="R5" s="260"/>
      <c r="S5" s="260"/>
      <c r="T5" s="261"/>
      <c r="U5" s="255"/>
      <c r="V5" s="239"/>
      <c r="W5" s="255"/>
      <c r="X5" s="239"/>
      <c r="Y5" s="239"/>
      <c r="Z5" s="257"/>
      <c r="AC5" s="264" t="s">
        <v>94</v>
      </c>
      <c r="AD5" s="264"/>
      <c r="AE5" s="78"/>
      <c r="AF5" s="78"/>
      <c r="AG5" s="264" t="s">
        <v>14</v>
      </c>
      <c r="AH5" s="264"/>
      <c r="AI5" s="78"/>
      <c r="AJ5" s="264" t="s">
        <v>95</v>
      </c>
      <c r="AK5" s="264"/>
      <c r="AM5" s="264" t="s">
        <v>110</v>
      </c>
      <c r="AN5" s="264"/>
    </row>
    <row r="6" spans="1:40" s="76" customFormat="1" ht="21.95" customHeight="1" thickBot="1">
      <c r="A6" s="240"/>
      <c r="B6" s="241"/>
      <c r="C6" s="244"/>
      <c r="D6" s="245"/>
      <c r="E6" s="248"/>
      <c r="F6" s="249"/>
      <c r="G6" s="241"/>
      <c r="H6" s="241"/>
      <c r="I6" s="241"/>
      <c r="J6" s="241"/>
      <c r="K6" s="241"/>
      <c r="L6" s="241"/>
      <c r="M6" s="252"/>
      <c r="N6" s="253"/>
      <c r="O6" s="249" t="s">
        <v>11</v>
      </c>
      <c r="P6" s="267"/>
      <c r="Q6" s="268" t="s">
        <v>12</v>
      </c>
      <c r="R6" s="269"/>
      <c r="S6" s="249" t="s">
        <v>3</v>
      </c>
      <c r="T6" s="267"/>
      <c r="U6" s="241"/>
      <c r="V6" s="241"/>
      <c r="W6" s="241"/>
      <c r="X6" s="241"/>
      <c r="Y6" s="241"/>
      <c r="Z6" s="258"/>
      <c r="AC6" s="78" t="s">
        <v>4</v>
      </c>
      <c r="AD6" s="78" t="s">
        <v>18</v>
      </c>
      <c r="AE6" s="78"/>
      <c r="AF6" s="78"/>
      <c r="AG6" s="78" t="s">
        <v>4</v>
      </c>
      <c r="AH6" s="78" t="s">
        <v>18</v>
      </c>
      <c r="AI6" s="78"/>
      <c r="AJ6" s="78" t="s">
        <v>4</v>
      </c>
      <c r="AK6" s="78" t="s">
        <v>18</v>
      </c>
      <c r="AM6" s="76" t="s">
        <v>108</v>
      </c>
      <c r="AN6" s="76" t="s">
        <v>106</v>
      </c>
    </row>
    <row r="7" spans="1:40" s="76" customFormat="1" ht="21.95" customHeight="1">
      <c r="A7" s="277"/>
      <c r="B7" s="278"/>
      <c r="C7" s="279"/>
      <c r="D7" s="280"/>
      <c r="E7" s="280"/>
      <c r="F7" s="281"/>
      <c r="G7" s="282"/>
      <c r="H7" s="282"/>
      <c r="I7" s="282"/>
      <c r="J7" s="282"/>
      <c r="K7" s="283"/>
      <c r="L7" s="283"/>
      <c r="M7" s="265"/>
      <c r="N7" s="371"/>
      <c r="O7" s="271"/>
      <c r="P7" s="272"/>
      <c r="Q7" s="273"/>
      <c r="R7" s="274"/>
      <c r="S7" s="275"/>
      <c r="T7" s="271"/>
      <c r="U7" s="270" t="str">
        <f>IF(C7="","",AC7)</f>
        <v/>
      </c>
      <c r="V7" s="270"/>
      <c r="W7" s="270" t="str">
        <f>IF(C7="","",IF(ISERROR(AD7),#VALUE!,AD7))</f>
        <v/>
      </c>
      <c r="X7" s="270"/>
      <c r="Y7" s="270" t="str">
        <f>IF(C7="","",C7*E7*AM7)</f>
        <v/>
      </c>
      <c r="Z7" s="276"/>
      <c r="AC7" s="76" t="e">
        <f>C7*E7*I7*$U$3*AG7</f>
        <v>#VALUE!</v>
      </c>
      <c r="AD7" s="76" t="e">
        <f>C7*E7*I7*$W$3*AH7</f>
        <v>#VALUE!</v>
      </c>
      <c r="AF7" s="79" t="b">
        <v>0</v>
      </c>
      <c r="AG7" s="76" t="str">
        <f>IF(AF7=TRUE,"0.93",IF(ISERROR(AJ7),"エラー",IF(AJ7&gt;0.93,"0.93",AJ7)))</f>
        <v>エラー</v>
      </c>
      <c r="AH7" s="76" t="str">
        <f>IF(AF7=TRUE,"0.51",IF(ISERROR(AK7),"エラー",IF(AK7&gt;0.72,"0.72",AK7)))</f>
        <v>エラー</v>
      </c>
      <c r="AJ7" s="76" t="e">
        <f>0.01*(16+24*(2*Q7+S7)/O7)</f>
        <v>#DIV/0!</v>
      </c>
      <c r="AK7" s="76" t="e">
        <f>0.01*(10+15*(2*Q7+S7)/O7)</f>
        <v>#DIV/0!</v>
      </c>
      <c r="AM7" s="76">
        <f>IF(共通条件・結果!$Z$6="８地域",G7,IF(AN7="FALSE",G7,IF(K7="風除室",1/((1/G7)+0.1),0.5*G7+0.5*(1/((1/G7)+AN7)))))</f>
        <v>0</v>
      </c>
      <c r="AN7" s="78" t="str">
        <f t="shared" ref="AN7:AN16" si="0">IF(K7="","FALSE",IF(K7="雨戸",0.1,IF(K7="ｼｬｯﾀｰ",0.1,IF(K7="障子",0.18,IF(K7="風除室",0.1)))))</f>
        <v>FALSE</v>
      </c>
    </row>
    <row r="8" spans="1:40" s="76" customFormat="1" ht="21.95" customHeight="1">
      <c r="A8" s="207"/>
      <c r="B8" s="208"/>
      <c r="C8" s="209"/>
      <c r="D8" s="210"/>
      <c r="E8" s="210"/>
      <c r="F8" s="211"/>
      <c r="G8" s="212"/>
      <c r="H8" s="212"/>
      <c r="I8" s="212"/>
      <c r="J8" s="212"/>
      <c r="K8" s="213" t="s">
        <v>85</v>
      </c>
      <c r="L8" s="213"/>
      <c r="M8" s="220"/>
      <c r="N8" s="370"/>
      <c r="O8" s="284"/>
      <c r="P8" s="222"/>
      <c r="Q8" s="285"/>
      <c r="R8" s="286"/>
      <c r="S8" s="225"/>
      <c r="T8" s="284"/>
      <c r="U8" s="205" t="str">
        <f t="shared" ref="U8:U16" si="1">IF(C8="","",AC8)</f>
        <v/>
      </c>
      <c r="V8" s="205"/>
      <c r="W8" s="205" t="str">
        <f t="shared" ref="W8:W16" si="2">IF(C8="","",IF(ISERROR(AD8),#VALUE!,AD8))</f>
        <v/>
      </c>
      <c r="X8" s="205"/>
      <c r="Y8" s="205" t="str">
        <f t="shared" ref="Y8:Y16" si="3">IF(C8="","",C8*E8*AM8)</f>
        <v/>
      </c>
      <c r="Z8" s="206"/>
      <c r="AC8" s="76" t="e">
        <f t="shared" ref="AC8:AC16" si="4">C8*E8*I8*$U$3*AG8</f>
        <v>#VALUE!</v>
      </c>
      <c r="AD8" s="76" t="e">
        <f t="shared" ref="AD8:AD16" si="5">C8*E8*I8*$W$3*AH8</f>
        <v>#VALUE!</v>
      </c>
      <c r="AF8" s="79" t="b">
        <v>0</v>
      </c>
      <c r="AG8" s="76" t="str">
        <f t="shared" ref="AG8:AG16" si="6">IF(AF8=TRUE,"0.93",IF(ISERROR(AJ8),"エラー",IF(AJ8&gt;0.93,"0.93",AJ8)))</f>
        <v>エラー</v>
      </c>
      <c r="AH8" s="76" t="str">
        <f t="shared" ref="AH8:AH16" si="7">IF(AF8=TRUE,"0.51",IF(ISERROR(AK8),"エラー",IF(AK8&gt;0.72,"0.72",AK8)))</f>
        <v>エラー</v>
      </c>
      <c r="AJ8" s="76" t="e">
        <f t="shared" ref="AJ8:AJ16" si="8">0.01*(16+24*(2*Q8+S8)/O8)</f>
        <v>#DIV/0!</v>
      </c>
      <c r="AK8" s="76" t="e">
        <f t="shared" ref="AK8:AK16" si="9">0.01*(10+15*(2*Q8+S8)/O8)</f>
        <v>#DIV/0!</v>
      </c>
      <c r="AM8" s="76" t="e">
        <f>IF(共通条件・結果!$Z$6="８地域",G8,IF(AN8="FALSE",G8,IF(K8="風除室",1/((1/G8)+0.1),0.5*G8+0.5*(1/((1/G8)+AN8)))))</f>
        <v>#DIV/0!</v>
      </c>
      <c r="AN8" s="78" t="b">
        <f t="shared" si="0"/>
        <v>0</v>
      </c>
    </row>
    <row r="9" spans="1:40" s="76" customFormat="1" ht="21.95" customHeight="1">
      <c r="A9" s="207"/>
      <c r="B9" s="208"/>
      <c r="C9" s="209"/>
      <c r="D9" s="210"/>
      <c r="E9" s="210"/>
      <c r="F9" s="211"/>
      <c r="G9" s="212"/>
      <c r="H9" s="212"/>
      <c r="I9" s="212"/>
      <c r="J9" s="212"/>
      <c r="K9" s="213" t="s">
        <v>85</v>
      </c>
      <c r="L9" s="213"/>
      <c r="M9" s="220"/>
      <c r="N9" s="370"/>
      <c r="O9" s="222"/>
      <c r="P9" s="223"/>
      <c r="Q9" s="224"/>
      <c r="R9" s="223"/>
      <c r="S9" s="224"/>
      <c r="T9" s="225"/>
      <c r="U9" s="205" t="str">
        <f t="shared" si="1"/>
        <v/>
      </c>
      <c r="V9" s="205"/>
      <c r="W9" s="205" t="str">
        <f t="shared" si="2"/>
        <v/>
      </c>
      <c r="X9" s="205"/>
      <c r="Y9" s="205" t="str">
        <f t="shared" si="3"/>
        <v/>
      </c>
      <c r="Z9" s="206"/>
      <c r="AC9" s="76" t="e">
        <f t="shared" si="4"/>
        <v>#VALUE!</v>
      </c>
      <c r="AD9" s="76" t="e">
        <f t="shared" si="5"/>
        <v>#VALUE!</v>
      </c>
      <c r="AF9" s="79" t="b">
        <v>0</v>
      </c>
      <c r="AG9" s="76" t="str">
        <f t="shared" si="6"/>
        <v>エラー</v>
      </c>
      <c r="AH9" s="76" t="str">
        <f t="shared" si="7"/>
        <v>エラー</v>
      </c>
      <c r="AJ9" s="76" t="e">
        <f t="shared" si="8"/>
        <v>#DIV/0!</v>
      </c>
      <c r="AK9" s="76" t="e">
        <f t="shared" si="9"/>
        <v>#DIV/0!</v>
      </c>
      <c r="AM9" s="76" t="e">
        <f>IF(共通条件・結果!$Z$6="８地域",G9,IF(AN9="FALSE",G9,IF(K9="風除室",1/((1/G9)+0.1),0.5*G9+0.5*(1/((1/G9)+AN9)))))</f>
        <v>#DIV/0!</v>
      </c>
      <c r="AN9" s="78" t="b">
        <f t="shared" si="0"/>
        <v>0</v>
      </c>
    </row>
    <row r="10" spans="1:40" s="76" customFormat="1" ht="21.95" customHeight="1">
      <c r="A10" s="207"/>
      <c r="B10" s="208"/>
      <c r="C10" s="209"/>
      <c r="D10" s="210"/>
      <c r="E10" s="210"/>
      <c r="F10" s="211"/>
      <c r="G10" s="212"/>
      <c r="H10" s="212"/>
      <c r="I10" s="212"/>
      <c r="J10" s="212"/>
      <c r="K10" s="213" t="s">
        <v>85</v>
      </c>
      <c r="L10" s="213"/>
      <c r="M10" s="220"/>
      <c r="N10" s="370"/>
      <c r="O10" s="222"/>
      <c r="P10" s="223"/>
      <c r="Q10" s="224"/>
      <c r="R10" s="223"/>
      <c r="S10" s="224"/>
      <c r="T10" s="225"/>
      <c r="U10" s="205" t="str">
        <f t="shared" si="1"/>
        <v/>
      </c>
      <c r="V10" s="205"/>
      <c r="W10" s="205" t="str">
        <f t="shared" si="2"/>
        <v/>
      </c>
      <c r="X10" s="205"/>
      <c r="Y10" s="205" t="str">
        <f t="shared" si="3"/>
        <v/>
      </c>
      <c r="Z10" s="206"/>
      <c r="AC10" s="76" t="e">
        <f t="shared" si="4"/>
        <v>#VALUE!</v>
      </c>
      <c r="AD10" s="76" t="e">
        <f t="shared" si="5"/>
        <v>#VALUE!</v>
      </c>
      <c r="AF10" s="79" t="b">
        <v>0</v>
      </c>
      <c r="AG10" s="76" t="str">
        <f t="shared" si="6"/>
        <v>エラー</v>
      </c>
      <c r="AH10" s="76" t="str">
        <f t="shared" si="7"/>
        <v>エラー</v>
      </c>
      <c r="AJ10" s="76" t="e">
        <f t="shared" si="8"/>
        <v>#DIV/0!</v>
      </c>
      <c r="AK10" s="76" t="e">
        <f t="shared" si="9"/>
        <v>#DIV/0!</v>
      </c>
      <c r="AM10" s="76" t="e">
        <f>IF(共通条件・結果!$Z$6="８地域",G10,IF(AN10="FALSE",G10,IF(K10="風除室",1/((1/G10)+0.1),0.5*G10+0.5*(1/((1/G10)+AN10)))))</f>
        <v>#DIV/0!</v>
      </c>
      <c r="AN10" s="78" t="b">
        <f t="shared" si="0"/>
        <v>0</v>
      </c>
    </row>
    <row r="11" spans="1:40" s="76" customFormat="1" ht="21.95" customHeight="1">
      <c r="A11" s="207"/>
      <c r="B11" s="208"/>
      <c r="C11" s="209"/>
      <c r="D11" s="210"/>
      <c r="E11" s="210"/>
      <c r="F11" s="211"/>
      <c r="G11" s="212"/>
      <c r="H11" s="212"/>
      <c r="I11" s="212"/>
      <c r="J11" s="212"/>
      <c r="K11" s="213" t="s">
        <v>85</v>
      </c>
      <c r="L11" s="213"/>
      <c r="M11" s="220"/>
      <c r="N11" s="370"/>
      <c r="O11" s="222"/>
      <c r="P11" s="223"/>
      <c r="Q11" s="224"/>
      <c r="R11" s="223"/>
      <c r="S11" s="224"/>
      <c r="T11" s="225"/>
      <c r="U11" s="205" t="str">
        <f t="shared" si="1"/>
        <v/>
      </c>
      <c r="V11" s="205"/>
      <c r="W11" s="205" t="str">
        <f t="shared" si="2"/>
        <v/>
      </c>
      <c r="X11" s="205"/>
      <c r="Y11" s="205" t="str">
        <f t="shared" si="3"/>
        <v/>
      </c>
      <c r="Z11" s="206"/>
      <c r="AC11" s="76" t="e">
        <f t="shared" si="4"/>
        <v>#VALUE!</v>
      </c>
      <c r="AD11" s="76" t="e">
        <f t="shared" si="5"/>
        <v>#VALUE!</v>
      </c>
      <c r="AF11" s="79" t="b">
        <v>0</v>
      </c>
      <c r="AG11" s="76" t="str">
        <f t="shared" si="6"/>
        <v>エラー</v>
      </c>
      <c r="AH11" s="76" t="str">
        <f t="shared" si="7"/>
        <v>エラー</v>
      </c>
      <c r="AJ11" s="76" t="e">
        <f t="shared" si="8"/>
        <v>#DIV/0!</v>
      </c>
      <c r="AK11" s="76" t="e">
        <f t="shared" si="9"/>
        <v>#DIV/0!</v>
      </c>
      <c r="AM11" s="76" t="e">
        <f>IF(共通条件・結果!$Z$6="８地域",G11,IF(AN11="FALSE",G11,IF(K11="風除室",1/((1/G11)+0.1),0.5*G11+0.5*(1/((1/G11)+AN11)))))</f>
        <v>#DIV/0!</v>
      </c>
      <c r="AN11" s="78" t="b">
        <f t="shared" si="0"/>
        <v>0</v>
      </c>
    </row>
    <row r="12" spans="1:40" s="76" customFormat="1" ht="21.95" customHeight="1">
      <c r="A12" s="207"/>
      <c r="B12" s="208"/>
      <c r="C12" s="209"/>
      <c r="D12" s="210"/>
      <c r="E12" s="210"/>
      <c r="F12" s="211"/>
      <c r="G12" s="212"/>
      <c r="H12" s="212"/>
      <c r="I12" s="212"/>
      <c r="J12" s="212"/>
      <c r="K12" s="213" t="s">
        <v>85</v>
      </c>
      <c r="L12" s="213"/>
      <c r="M12" s="220"/>
      <c r="N12" s="370"/>
      <c r="O12" s="222"/>
      <c r="P12" s="223"/>
      <c r="Q12" s="224"/>
      <c r="R12" s="223"/>
      <c r="S12" s="224"/>
      <c r="T12" s="225"/>
      <c r="U12" s="226" t="str">
        <f t="shared" si="1"/>
        <v/>
      </c>
      <c r="V12" s="227"/>
      <c r="W12" s="205" t="str">
        <f t="shared" si="2"/>
        <v/>
      </c>
      <c r="X12" s="205"/>
      <c r="Y12" s="205" t="str">
        <f t="shared" si="3"/>
        <v/>
      </c>
      <c r="Z12" s="206"/>
      <c r="AC12" s="76" t="e">
        <f t="shared" si="4"/>
        <v>#VALUE!</v>
      </c>
      <c r="AD12" s="76" t="e">
        <f t="shared" si="5"/>
        <v>#VALUE!</v>
      </c>
      <c r="AF12" s="79" t="b">
        <v>0</v>
      </c>
      <c r="AG12" s="76" t="str">
        <f t="shared" si="6"/>
        <v>エラー</v>
      </c>
      <c r="AH12" s="76" t="str">
        <f t="shared" si="7"/>
        <v>エラー</v>
      </c>
      <c r="AJ12" s="76" t="e">
        <f t="shared" si="8"/>
        <v>#DIV/0!</v>
      </c>
      <c r="AK12" s="76" t="e">
        <f t="shared" si="9"/>
        <v>#DIV/0!</v>
      </c>
      <c r="AM12" s="76" t="e">
        <f>IF(共通条件・結果!$Z$6="８地域",G12,IF(AN12="FALSE",G12,IF(K12="風除室",1/((1/G12)+0.1),0.5*G12+0.5*(1/((1/G12)+AN12)))))</f>
        <v>#DIV/0!</v>
      </c>
      <c r="AN12" s="78" t="b">
        <f t="shared" si="0"/>
        <v>0</v>
      </c>
    </row>
    <row r="13" spans="1:40" s="76" customFormat="1" ht="21.95" customHeight="1">
      <c r="A13" s="207"/>
      <c r="B13" s="208"/>
      <c r="C13" s="209"/>
      <c r="D13" s="210"/>
      <c r="E13" s="210"/>
      <c r="F13" s="211"/>
      <c r="G13" s="212"/>
      <c r="H13" s="212"/>
      <c r="I13" s="212"/>
      <c r="J13" s="212"/>
      <c r="K13" s="213" t="s">
        <v>85</v>
      </c>
      <c r="L13" s="213"/>
      <c r="M13" s="220"/>
      <c r="N13" s="370"/>
      <c r="O13" s="222"/>
      <c r="P13" s="223"/>
      <c r="Q13" s="224"/>
      <c r="R13" s="223"/>
      <c r="S13" s="224"/>
      <c r="T13" s="225"/>
      <c r="U13" s="226" t="str">
        <f t="shared" si="1"/>
        <v/>
      </c>
      <c r="V13" s="227"/>
      <c r="W13" s="205" t="str">
        <f t="shared" si="2"/>
        <v/>
      </c>
      <c r="X13" s="205"/>
      <c r="Y13" s="205" t="str">
        <f t="shared" si="3"/>
        <v/>
      </c>
      <c r="Z13" s="206"/>
      <c r="AC13" s="76" t="e">
        <f t="shared" si="4"/>
        <v>#VALUE!</v>
      </c>
      <c r="AD13" s="76" t="e">
        <f t="shared" si="5"/>
        <v>#VALUE!</v>
      </c>
      <c r="AF13" s="79" t="b">
        <v>0</v>
      </c>
      <c r="AG13" s="76" t="str">
        <f t="shared" si="6"/>
        <v>エラー</v>
      </c>
      <c r="AH13" s="76" t="str">
        <f t="shared" si="7"/>
        <v>エラー</v>
      </c>
      <c r="AJ13" s="76" t="e">
        <f t="shared" si="8"/>
        <v>#DIV/0!</v>
      </c>
      <c r="AK13" s="76" t="e">
        <f t="shared" si="9"/>
        <v>#DIV/0!</v>
      </c>
      <c r="AM13" s="76" t="e">
        <f>IF(共通条件・結果!$Z$6="８地域",G13,IF(AN13="FALSE",G13,IF(K13="風除室",1/((1/G13)+0.1),0.5*G13+0.5*(1/((1/G13)+AN13)))))</f>
        <v>#DIV/0!</v>
      </c>
      <c r="AN13" s="78" t="b">
        <f t="shared" si="0"/>
        <v>0</v>
      </c>
    </row>
    <row r="14" spans="1:40" s="76" customFormat="1" ht="21.95" customHeight="1">
      <c r="A14" s="207"/>
      <c r="B14" s="208"/>
      <c r="C14" s="209"/>
      <c r="D14" s="210"/>
      <c r="E14" s="210"/>
      <c r="F14" s="211"/>
      <c r="G14" s="212"/>
      <c r="H14" s="212"/>
      <c r="I14" s="212"/>
      <c r="J14" s="212"/>
      <c r="K14" s="213" t="s">
        <v>85</v>
      </c>
      <c r="L14" s="213"/>
      <c r="M14" s="220"/>
      <c r="N14" s="370"/>
      <c r="O14" s="284"/>
      <c r="P14" s="222"/>
      <c r="Q14" s="224"/>
      <c r="R14" s="223"/>
      <c r="S14" s="224"/>
      <c r="T14" s="225"/>
      <c r="U14" s="226" t="str">
        <f t="shared" si="1"/>
        <v/>
      </c>
      <c r="V14" s="227"/>
      <c r="W14" s="205" t="str">
        <f t="shared" si="2"/>
        <v/>
      </c>
      <c r="X14" s="205"/>
      <c r="Y14" s="205" t="str">
        <f t="shared" si="3"/>
        <v/>
      </c>
      <c r="Z14" s="206"/>
      <c r="AC14" s="76" t="e">
        <f t="shared" si="4"/>
        <v>#VALUE!</v>
      </c>
      <c r="AD14" s="76" t="e">
        <f t="shared" si="5"/>
        <v>#VALUE!</v>
      </c>
      <c r="AF14" s="79" t="b">
        <v>0</v>
      </c>
      <c r="AG14" s="76" t="str">
        <f t="shared" si="6"/>
        <v>エラー</v>
      </c>
      <c r="AH14" s="76" t="str">
        <f t="shared" si="7"/>
        <v>エラー</v>
      </c>
      <c r="AJ14" s="76" t="e">
        <f t="shared" si="8"/>
        <v>#DIV/0!</v>
      </c>
      <c r="AK14" s="76" t="e">
        <f t="shared" si="9"/>
        <v>#DIV/0!</v>
      </c>
      <c r="AM14" s="76" t="e">
        <f>IF(共通条件・結果!$Z$6="８地域",G14,IF(AN14="FALSE",G14,IF(K14="風除室",1/((1/G14)+0.1),0.5*G14+0.5*(1/((1/G14)+AN14)))))</f>
        <v>#DIV/0!</v>
      </c>
      <c r="AN14" s="78" t="b">
        <f t="shared" si="0"/>
        <v>0</v>
      </c>
    </row>
    <row r="15" spans="1:40" s="76" customFormat="1" ht="21.95" customHeight="1">
      <c r="A15" s="207"/>
      <c r="B15" s="208"/>
      <c r="C15" s="209"/>
      <c r="D15" s="210"/>
      <c r="E15" s="210"/>
      <c r="F15" s="211"/>
      <c r="G15" s="212"/>
      <c r="H15" s="212"/>
      <c r="I15" s="212"/>
      <c r="J15" s="212"/>
      <c r="K15" s="213" t="s">
        <v>85</v>
      </c>
      <c r="L15" s="213"/>
      <c r="M15" s="220"/>
      <c r="N15" s="370"/>
      <c r="O15" s="284"/>
      <c r="P15" s="222"/>
      <c r="Q15" s="285"/>
      <c r="R15" s="286"/>
      <c r="S15" s="225"/>
      <c r="T15" s="284"/>
      <c r="U15" s="226" t="str">
        <f t="shared" si="1"/>
        <v/>
      </c>
      <c r="V15" s="227"/>
      <c r="W15" s="205" t="str">
        <f t="shared" si="2"/>
        <v/>
      </c>
      <c r="X15" s="205"/>
      <c r="Y15" s="205" t="str">
        <f t="shared" si="3"/>
        <v/>
      </c>
      <c r="Z15" s="206"/>
      <c r="AC15" s="76" t="e">
        <f t="shared" si="4"/>
        <v>#VALUE!</v>
      </c>
      <c r="AD15" s="76" t="e">
        <f t="shared" si="5"/>
        <v>#VALUE!</v>
      </c>
      <c r="AF15" s="79" t="b">
        <v>0</v>
      </c>
      <c r="AG15" s="76" t="str">
        <f t="shared" si="6"/>
        <v>エラー</v>
      </c>
      <c r="AH15" s="76" t="str">
        <f t="shared" si="7"/>
        <v>エラー</v>
      </c>
      <c r="AJ15" s="76" t="e">
        <f t="shared" si="8"/>
        <v>#DIV/0!</v>
      </c>
      <c r="AK15" s="76" t="e">
        <f t="shared" si="9"/>
        <v>#DIV/0!</v>
      </c>
      <c r="AM15" s="76" t="e">
        <f>IF(共通条件・結果!$Z$6="８地域",G15,IF(AN15="FALSE",G15,IF(K15="風除室",1/((1/G15)+0.1),0.5*G15+0.5*(1/((1/G15)+AN15)))))</f>
        <v>#DIV/0!</v>
      </c>
      <c r="AN15" s="78" t="b">
        <f t="shared" si="0"/>
        <v>0</v>
      </c>
    </row>
    <row r="16" spans="1:40" s="76" customFormat="1" ht="21.95" customHeight="1" thickBot="1">
      <c r="A16" s="306"/>
      <c r="B16" s="307"/>
      <c r="C16" s="308"/>
      <c r="D16" s="295"/>
      <c r="E16" s="295"/>
      <c r="F16" s="296"/>
      <c r="G16" s="294"/>
      <c r="H16" s="294"/>
      <c r="I16" s="294"/>
      <c r="J16" s="294"/>
      <c r="K16" s="283" t="s">
        <v>85</v>
      </c>
      <c r="L16" s="283"/>
      <c r="M16" s="287"/>
      <c r="N16" s="369"/>
      <c r="O16" s="289"/>
      <c r="P16" s="290"/>
      <c r="Q16" s="291"/>
      <c r="R16" s="292"/>
      <c r="S16" s="293"/>
      <c r="T16" s="289"/>
      <c r="U16" s="226" t="str">
        <f t="shared" si="1"/>
        <v/>
      </c>
      <c r="V16" s="227"/>
      <c r="W16" s="205" t="str">
        <f t="shared" si="2"/>
        <v/>
      </c>
      <c r="X16" s="205"/>
      <c r="Y16" s="300" t="str">
        <f t="shared" si="3"/>
        <v/>
      </c>
      <c r="Z16" s="301"/>
      <c r="AC16" s="76" t="e">
        <f t="shared" si="4"/>
        <v>#VALUE!</v>
      </c>
      <c r="AD16" s="76" t="e">
        <f t="shared" si="5"/>
        <v>#VALUE!</v>
      </c>
      <c r="AF16" s="79" t="b">
        <v>0</v>
      </c>
      <c r="AG16" s="76" t="str">
        <f t="shared" si="6"/>
        <v>エラー</v>
      </c>
      <c r="AH16" s="76" t="str">
        <f t="shared" si="7"/>
        <v>エラー</v>
      </c>
      <c r="AJ16" s="76" t="e">
        <f t="shared" si="8"/>
        <v>#DIV/0!</v>
      </c>
      <c r="AK16" s="76" t="e">
        <f t="shared" si="9"/>
        <v>#DIV/0!</v>
      </c>
      <c r="AM16" s="76" t="e">
        <f>IF(共通条件・結果!$Z$6="８地域",G16,IF(AN16="FALSE",G16,IF(K16="風除室",1/((1/G16)+0.1),0.5*G16+0.5*(1/((1/G16)+AN16)))))</f>
        <v>#DIV/0!</v>
      </c>
      <c r="AN16" s="78" t="b">
        <f t="shared" si="0"/>
        <v>0</v>
      </c>
    </row>
    <row r="17" spans="1:40" s="76" customFormat="1" ht="21.95" customHeight="1" thickBot="1">
      <c r="A17" s="302" t="s">
        <v>150</v>
      </c>
      <c r="B17" s="303"/>
      <c r="C17" s="303"/>
      <c r="D17" s="303"/>
      <c r="E17" s="303"/>
      <c r="F17" s="303"/>
      <c r="G17" s="303"/>
      <c r="H17" s="303"/>
      <c r="I17" s="303"/>
      <c r="J17" s="303"/>
      <c r="K17" s="303"/>
      <c r="L17" s="303"/>
      <c r="M17" s="303"/>
      <c r="N17" s="303"/>
      <c r="O17" s="303"/>
      <c r="P17" s="303"/>
      <c r="Q17" s="303"/>
      <c r="R17" s="303"/>
      <c r="S17" s="303"/>
      <c r="T17" s="303"/>
      <c r="U17" s="304">
        <f>SUM(U7:V16)</f>
        <v>0</v>
      </c>
      <c r="V17" s="304"/>
      <c r="W17" s="304">
        <f>SUM(W7:X16)</f>
        <v>0</v>
      </c>
      <c r="X17" s="304"/>
      <c r="Y17" s="304">
        <f>SUM(Y7:Z16)</f>
        <v>0</v>
      </c>
      <c r="Z17" s="305"/>
    </row>
    <row r="18" spans="1:40" s="76" customFormat="1" ht="9.9499999999999993" customHeight="1">
      <c r="AM18" s="264"/>
      <c r="AN18" s="264"/>
    </row>
    <row r="19" spans="1:40" s="76" customFormat="1" ht="21.95" customHeight="1" thickBot="1">
      <c r="I19" s="77" t="s">
        <v>15</v>
      </c>
      <c r="J19" s="77"/>
      <c r="K19" s="77"/>
    </row>
    <row r="20" spans="1:40" s="76" customFormat="1" ht="21.95" customHeight="1">
      <c r="I20" s="352" t="s">
        <v>16</v>
      </c>
      <c r="J20" s="356"/>
      <c r="K20" s="356"/>
      <c r="L20" s="353"/>
      <c r="M20" s="237" t="s">
        <v>113</v>
      </c>
      <c r="N20" s="237"/>
      <c r="O20" s="237"/>
      <c r="P20" s="237"/>
      <c r="Q20" s="237" t="s">
        <v>7</v>
      </c>
      <c r="R20" s="237"/>
      <c r="S20" s="366" t="s">
        <v>10</v>
      </c>
      <c r="T20" s="367"/>
      <c r="U20" s="254" t="s">
        <v>88</v>
      </c>
      <c r="V20" s="237"/>
      <c r="W20" s="254" t="s">
        <v>87</v>
      </c>
      <c r="X20" s="237"/>
      <c r="Y20" s="237" t="s">
        <v>13</v>
      </c>
      <c r="Z20" s="256"/>
      <c r="AM20" s="264" t="s">
        <v>110</v>
      </c>
      <c r="AN20" s="264"/>
    </row>
    <row r="21" spans="1:40" s="76" customFormat="1" ht="21.95" customHeight="1" thickBot="1">
      <c r="I21" s="354"/>
      <c r="J21" s="248"/>
      <c r="K21" s="248"/>
      <c r="L21" s="249"/>
      <c r="M21" s="297" t="s">
        <v>9</v>
      </c>
      <c r="N21" s="298"/>
      <c r="O21" s="299" t="s">
        <v>8</v>
      </c>
      <c r="P21" s="241"/>
      <c r="Q21" s="241"/>
      <c r="R21" s="241"/>
      <c r="S21" s="368"/>
      <c r="T21" s="368"/>
      <c r="U21" s="241"/>
      <c r="V21" s="241"/>
      <c r="W21" s="241"/>
      <c r="X21" s="241"/>
      <c r="Y21" s="241"/>
      <c r="Z21" s="258"/>
      <c r="AM21" s="76" t="s">
        <v>108</v>
      </c>
      <c r="AN21" s="76" t="s">
        <v>106</v>
      </c>
    </row>
    <row r="22" spans="1:40" s="76" customFormat="1" ht="21.95" customHeight="1">
      <c r="B22" s="80"/>
      <c r="C22" s="80"/>
      <c r="D22" s="80"/>
      <c r="E22" s="80"/>
      <c r="F22" s="80"/>
      <c r="G22" s="80"/>
      <c r="H22" s="80"/>
      <c r="I22" s="218"/>
      <c r="J22" s="357"/>
      <c r="K22" s="357"/>
      <c r="L22" s="219"/>
      <c r="M22" s="279"/>
      <c r="N22" s="280"/>
      <c r="O22" s="280"/>
      <c r="P22" s="281"/>
      <c r="Q22" s="338"/>
      <c r="R22" s="338"/>
      <c r="S22" s="283"/>
      <c r="T22" s="283"/>
      <c r="U22" s="300" t="str">
        <f>IF(M22="","",M22*O22*Q22*0.034*$U$3)</f>
        <v/>
      </c>
      <c r="V22" s="300"/>
      <c r="W22" s="300" t="str">
        <f>IF(M22="","",IF(ISERROR(M22*O22*Q22*0.034*$W$3),"-",M22*O22*Q22*0.034*$W$3))</f>
        <v/>
      </c>
      <c r="X22" s="300"/>
      <c r="Y22" s="300" t="str">
        <f>IF(M22="","",M22*O22*AM22)</f>
        <v/>
      </c>
      <c r="Z22" s="301"/>
      <c r="AM22" s="76">
        <f>IF(共通条件・結果!$Z$6="８地域",Q22,IF(AN22="FALSE",Q22,IF(S22="風除室",1/((1/Q22)+0.1),0.5*Q22+0.5*(1/((1/Q22)+AN22)))))</f>
        <v>0</v>
      </c>
      <c r="AN22" s="78" t="str">
        <f>IF(S22="","FALSE",IF(S22="雨戸",0.1,IF(S22="ｼｬｯﾀｰ",0.1,IF(S22="障子",0.18,IF(S22="風除室",0.1)))))</f>
        <v>FALSE</v>
      </c>
    </row>
    <row r="23" spans="1:40" s="76" customFormat="1" ht="21.95" customHeight="1" thickBot="1">
      <c r="B23" s="80"/>
      <c r="C23" s="80"/>
      <c r="D23" s="80"/>
      <c r="E23" s="80"/>
      <c r="F23" s="80"/>
      <c r="G23" s="80"/>
      <c r="H23" s="80"/>
      <c r="I23" s="214"/>
      <c r="J23" s="358"/>
      <c r="K23" s="358"/>
      <c r="L23" s="215"/>
      <c r="M23" s="308"/>
      <c r="N23" s="295"/>
      <c r="O23" s="295"/>
      <c r="P23" s="296"/>
      <c r="Q23" s="294"/>
      <c r="R23" s="294"/>
      <c r="S23" s="213" t="s">
        <v>85</v>
      </c>
      <c r="T23" s="213"/>
      <c r="U23" s="350" t="str">
        <f>IF(M23="","",M23*O23*Q23*0.034*$U$3)</f>
        <v/>
      </c>
      <c r="V23" s="350"/>
      <c r="W23" s="350" t="str">
        <f>IF(M23="","",IF(ISERROR(M23*O23*Q23*0.034*$W$3),"-",M23*O23*Q23*0.034*$W$3))</f>
        <v/>
      </c>
      <c r="X23" s="350"/>
      <c r="Y23" s="350" t="str">
        <f>IF(M23="","",M23*O23*AM23)</f>
        <v/>
      </c>
      <c r="Z23" s="351"/>
      <c r="AM23" s="76" t="e">
        <f>IF(共通条件・結果!$Z$6="８地域",Q23,IF(AN23="FALSE",Q23,IF(S23="風除室",1/((1/Q23)+0.1),0.5*Q23+0.5*(1/((1/Q23)+AN23)))))</f>
        <v>#DIV/0!</v>
      </c>
      <c r="AN23" s="78" t="b">
        <f>IF(S23="","FALSE",IF(S23="雨戸",0.1,IF(S23="ｼｬｯﾀｰ",0.1,IF(S23="障子",0.18,IF(S23="風除室",0.1)))))</f>
        <v>0</v>
      </c>
    </row>
    <row r="24" spans="1:40" s="76" customFormat="1" ht="21.95" customHeight="1" thickBot="1">
      <c r="B24" s="80"/>
      <c r="C24" s="80"/>
      <c r="D24" s="80"/>
      <c r="E24" s="80"/>
      <c r="F24" s="80"/>
      <c r="G24" s="80"/>
      <c r="H24" s="80"/>
      <c r="I24" s="302" t="s">
        <v>174</v>
      </c>
      <c r="J24" s="303"/>
      <c r="K24" s="303"/>
      <c r="L24" s="303"/>
      <c r="M24" s="303"/>
      <c r="N24" s="303"/>
      <c r="O24" s="303"/>
      <c r="P24" s="303"/>
      <c r="Q24" s="303"/>
      <c r="R24" s="303"/>
      <c r="S24" s="303"/>
      <c r="T24" s="355"/>
      <c r="U24" s="304">
        <f>SUM(U22:V23)</f>
        <v>0</v>
      </c>
      <c r="V24" s="304"/>
      <c r="W24" s="304">
        <f>SUM(W22:X23)</f>
        <v>0</v>
      </c>
      <c r="X24" s="304"/>
      <c r="Y24" s="304">
        <f>SUM(Y22:Z23)</f>
        <v>0</v>
      </c>
      <c r="Z24" s="305"/>
      <c r="AN24" s="78"/>
    </row>
    <row r="25" spans="1:40" s="76" customFormat="1" ht="9.9499999999999993" customHeight="1">
      <c r="B25" s="80"/>
      <c r="C25" s="80"/>
      <c r="D25" s="80"/>
      <c r="E25" s="80"/>
      <c r="F25" s="80"/>
      <c r="G25" s="80"/>
      <c r="H25" s="80"/>
      <c r="I25" s="80"/>
      <c r="AN25" s="78"/>
    </row>
    <row r="26" spans="1:40" s="76" customFormat="1" ht="21.95" customHeight="1" thickBot="1">
      <c r="B26" s="80"/>
      <c r="C26" s="80"/>
      <c r="D26" s="80"/>
      <c r="E26" s="80"/>
      <c r="F26" s="80"/>
      <c r="G26" s="80"/>
      <c r="H26" s="80"/>
      <c r="I26" s="77" t="s">
        <v>17</v>
      </c>
      <c r="J26" s="77"/>
      <c r="K26" s="77"/>
      <c r="AN26" s="78"/>
    </row>
    <row r="27" spans="1:40" s="76" customFormat="1" ht="21.95" customHeight="1">
      <c r="B27" s="80"/>
      <c r="C27" s="80"/>
      <c r="D27" s="80"/>
      <c r="E27" s="80"/>
      <c r="F27" s="80"/>
      <c r="G27" s="80"/>
      <c r="H27" s="80"/>
      <c r="I27" s="352" t="s">
        <v>0</v>
      </c>
      <c r="J27" s="353"/>
      <c r="K27" s="363" t="s">
        <v>62</v>
      </c>
      <c r="L27" s="364"/>
      <c r="M27" s="363" t="s">
        <v>200</v>
      </c>
      <c r="N27" s="364"/>
      <c r="O27" s="339" t="s">
        <v>63</v>
      </c>
      <c r="P27" s="340"/>
      <c r="Q27" s="237" t="s">
        <v>7</v>
      </c>
      <c r="R27" s="237"/>
      <c r="S27" s="359" t="s">
        <v>180</v>
      </c>
      <c r="T27" s="360"/>
      <c r="U27" s="254" t="s">
        <v>88</v>
      </c>
      <c r="V27" s="237"/>
      <c r="W27" s="254" t="s">
        <v>87</v>
      </c>
      <c r="X27" s="237"/>
      <c r="Y27" s="237" t="s">
        <v>13</v>
      </c>
      <c r="Z27" s="256"/>
      <c r="AN27" s="78"/>
    </row>
    <row r="28" spans="1:40" s="76" customFormat="1" ht="21.95" customHeight="1" thickBot="1">
      <c r="B28" s="80"/>
      <c r="C28" s="80"/>
      <c r="D28" s="80"/>
      <c r="E28" s="80"/>
      <c r="F28" s="80"/>
      <c r="G28" s="80"/>
      <c r="H28" s="80"/>
      <c r="I28" s="354"/>
      <c r="J28" s="249"/>
      <c r="K28" s="252"/>
      <c r="L28" s="365"/>
      <c r="M28" s="252"/>
      <c r="N28" s="365"/>
      <c r="O28" s="341"/>
      <c r="P28" s="342"/>
      <c r="Q28" s="241"/>
      <c r="R28" s="241"/>
      <c r="S28" s="361"/>
      <c r="T28" s="362"/>
      <c r="U28" s="241"/>
      <c r="V28" s="241"/>
      <c r="W28" s="241"/>
      <c r="X28" s="241"/>
      <c r="Y28" s="241"/>
      <c r="Z28" s="258"/>
      <c r="AD28" s="76" t="s">
        <v>170</v>
      </c>
      <c r="AE28" s="76" t="s">
        <v>171</v>
      </c>
    </row>
    <row r="29" spans="1:40" s="76" customFormat="1" ht="21.95" customHeight="1">
      <c r="B29" s="80"/>
      <c r="C29" s="80"/>
      <c r="D29" s="80"/>
      <c r="E29" s="80"/>
      <c r="F29" s="80"/>
      <c r="G29" s="80"/>
      <c r="H29" s="80"/>
      <c r="I29" s="218"/>
      <c r="J29" s="219"/>
      <c r="K29" s="334"/>
      <c r="L29" s="335"/>
      <c r="M29" s="334"/>
      <c r="N29" s="335"/>
      <c r="O29" s="336" t="str">
        <f>IF(K29="","",K29-M29)</f>
        <v/>
      </c>
      <c r="P29" s="337"/>
      <c r="Q29" s="338"/>
      <c r="R29" s="338"/>
      <c r="S29" s="338"/>
      <c r="T29" s="338"/>
      <c r="U29" s="205" t="str">
        <f>IF(O29="","",IF(AC29=TRUE,0,O29*Q29*0.034*$U$3))</f>
        <v/>
      </c>
      <c r="V29" s="205"/>
      <c r="W29" s="226" t="str">
        <f>IF(O29="","",IF(ISERROR(O29*Q29*0.034*$W$3),"-",IF(AC29=TRUE,0,O29*Q29*0.034*$W$3)))</f>
        <v/>
      </c>
      <c r="X29" s="227"/>
      <c r="Y29" s="270" t="str">
        <f>IF(Q29="","",IF(AC29=TRUE,0.7*Q29*O29,Q29*O29))</f>
        <v/>
      </c>
      <c r="Z29" s="276"/>
      <c r="AC29" s="79" t="b">
        <v>0</v>
      </c>
      <c r="AD29" s="79">
        <f>IF(AC29=TRUE,0.7,1)</f>
        <v>1</v>
      </c>
      <c r="AE29" s="79" t="str">
        <f>IF(AC29=TRUE,0,"セル")</f>
        <v>セル</v>
      </c>
    </row>
    <row r="30" spans="1:40" s="76" customFormat="1" ht="21.95" customHeight="1">
      <c r="B30" s="80"/>
      <c r="C30" s="80"/>
      <c r="D30" s="80"/>
      <c r="E30" s="80"/>
      <c r="F30" s="80"/>
      <c r="G30" s="80"/>
      <c r="H30" s="80"/>
      <c r="I30" s="216"/>
      <c r="J30" s="217"/>
      <c r="K30" s="332"/>
      <c r="L30" s="333"/>
      <c r="M30" s="332"/>
      <c r="N30" s="333"/>
      <c r="O30" s="330" t="str">
        <f>IF(K30="","",K30-M30)</f>
        <v/>
      </c>
      <c r="P30" s="331"/>
      <c r="Q30" s="212"/>
      <c r="R30" s="212"/>
      <c r="S30" s="212"/>
      <c r="T30" s="212"/>
      <c r="U30" s="205" t="str">
        <f>IF(O30="","",IF(AC30=TRUE,0,O30*Q30*0.034*$U$3))</f>
        <v/>
      </c>
      <c r="V30" s="205"/>
      <c r="W30" s="226" t="str">
        <f>IF(O30="","",IF(ISERROR(O30*Q30*0.034*$W$3),"-",IF(AC30=TRUE,0,O30*Q30*0.034*$W$3)))</f>
        <v/>
      </c>
      <c r="X30" s="227"/>
      <c r="Y30" s="205" t="str">
        <f>IF(Q30="","",IF(AC30=TRUE,0.7*Q30*O30,Q30*O30))</f>
        <v/>
      </c>
      <c r="Z30" s="206"/>
      <c r="AC30" s="79" t="b">
        <v>0</v>
      </c>
      <c r="AD30" s="79">
        <f>IF(AC30=TRUE,0.7,1)</f>
        <v>1</v>
      </c>
      <c r="AE30" s="79" t="str">
        <f>IF(AC30=TRUE,0,"セル")</f>
        <v>セル</v>
      </c>
    </row>
    <row r="31" spans="1:40" s="76" customFormat="1" ht="21.95" customHeight="1" thickBot="1">
      <c r="I31" s="214"/>
      <c r="J31" s="215"/>
      <c r="K31" s="345"/>
      <c r="L31" s="346"/>
      <c r="M31" s="345"/>
      <c r="N31" s="346"/>
      <c r="O31" s="347" t="str">
        <f>IF(K31="","",K31-M31)</f>
        <v/>
      </c>
      <c r="P31" s="348"/>
      <c r="Q31" s="349"/>
      <c r="R31" s="349"/>
      <c r="S31" s="349"/>
      <c r="T31" s="349"/>
      <c r="U31" s="300" t="str">
        <f>IF(O31="","",IF(AC31=TRUE,0,O31*Q31*0.034*$U$3))</f>
        <v/>
      </c>
      <c r="V31" s="300"/>
      <c r="W31" s="343" t="str">
        <f>IF(O31="","",IF(ISERROR(O31*Q31*0.034*$W$3),"-",IF(AC31=TRUE,0,O31*Q31*0.034*$W$3)))</f>
        <v/>
      </c>
      <c r="X31" s="344"/>
      <c r="Y31" s="300" t="str">
        <f>IF(Q31="","",IF(AC31=TRUE,0.7*Q31*O31,Q31*O31))</f>
        <v/>
      </c>
      <c r="Z31" s="301"/>
      <c r="AC31" s="79" t="b">
        <v>0</v>
      </c>
      <c r="AD31" s="79">
        <f>IF(AC31=TRUE,0.7,1)</f>
        <v>1</v>
      </c>
      <c r="AE31" s="79" t="str">
        <f>IF(AC31=TRUE,0,"セル")</f>
        <v>セル</v>
      </c>
    </row>
    <row r="32" spans="1:40" s="76" customFormat="1" ht="21.95" customHeight="1" thickBot="1">
      <c r="I32" s="302" t="s">
        <v>151</v>
      </c>
      <c r="J32" s="303"/>
      <c r="K32" s="303"/>
      <c r="L32" s="303"/>
      <c r="M32" s="303"/>
      <c r="N32" s="303"/>
      <c r="O32" s="303"/>
      <c r="P32" s="303"/>
      <c r="Q32" s="303"/>
      <c r="R32" s="303"/>
      <c r="S32" s="303"/>
      <c r="T32" s="355"/>
      <c r="U32" s="304">
        <f>SUM(U29:V31)</f>
        <v>0</v>
      </c>
      <c r="V32" s="304"/>
      <c r="W32" s="304">
        <f>SUM(W29:X31)</f>
        <v>0</v>
      </c>
      <c r="X32" s="304"/>
      <c r="Y32" s="304">
        <f>SUM(Y29:Z31)</f>
        <v>0</v>
      </c>
      <c r="Z32" s="305"/>
    </row>
    <row r="33" spans="1:26" s="76" customFormat="1" ht="9.9499999999999993" customHeight="1"/>
    <row r="34" spans="1:26" s="76" customFormat="1" ht="21.95" customHeight="1" thickBot="1">
      <c r="A34" s="77" t="s">
        <v>152</v>
      </c>
    </row>
    <row r="35" spans="1:26" s="76" customFormat="1" ht="21.95" customHeight="1">
      <c r="A35" s="309" t="s">
        <v>131</v>
      </c>
      <c r="B35" s="310"/>
      <c r="C35" s="323" t="s">
        <v>65</v>
      </c>
      <c r="D35" s="324"/>
      <c r="E35" s="324"/>
      <c r="F35" s="324"/>
      <c r="G35" s="324"/>
      <c r="H35" s="324"/>
      <c r="I35" s="325"/>
      <c r="J35" s="81"/>
      <c r="K35" s="319">
        <f>P35+T35+X35</f>
        <v>0</v>
      </c>
      <c r="L35" s="319"/>
      <c r="M35" s="319"/>
      <c r="N35" s="81" t="s">
        <v>24</v>
      </c>
      <c r="O35" s="82" t="s">
        <v>23</v>
      </c>
      <c r="P35" s="320">
        <f>C7*E7+C8*E8+C9*E9+C10*E10+C11*E11+C12*E12+C13*E13+C14*E14+C15*E15+C16*E16</f>
        <v>0</v>
      </c>
      <c r="Q35" s="320"/>
      <c r="R35" s="83" t="s">
        <v>25</v>
      </c>
      <c r="S35" s="83" t="s">
        <v>22</v>
      </c>
      <c r="T35" s="321">
        <f>M22*O22+M23*O23</f>
        <v>0</v>
      </c>
      <c r="U35" s="321"/>
      <c r="V35" s="83" t="s">
        <v>25</v>
      </c>
      <c r="W35" s="83" t="s">
        <v>1</v>
      </c>
      <c r="X35" s="322">
        <f>SUM(O29:P31)</f>
        <v>0</v>
      </c>
      <c r="Y35" s="322"/>
      <c r="Z35" s="84" t="s">
        <v>19</v>
      </c>
    </row>
    <row r="36" spans="1:26" s="76" customFormat="1" ht="21.95" customHeight="1">
      <c r="A36" s="311"/>
      <c r="B36" s="312"/>
      <c r="C36" s="315" t="s">
        <v>92</v>
      </c>
      <c r="D36" s="316"/>
      <c r="E36" s="316"/>
      <c r="F36" s="316"/>
      <c r="G36" s="316"/>
      <c r="H36" s="316"/>
      <c r="I36" s="317"/>
      <c r="J36" s="85"/>
      <c r="K36" s="85"/>
      <c r="L36" s="85"/>
      <c r="M36" s="85"/>
      <c r="N36" s="85"/>
      <c r="O36" s="85"/>
      <c r="P36" s="85"/>
      <c r="Q36" s="85"/>
      <c r="R36" s="85"/>
      <c r="S36" s="85"/>
      <c r="T36" s="85"/>
      <c r="U36" s="85"/>
      <c r="V36" s="318">
        <f>U17+U24+U32</f>
        <v>0</v>
      </c>
      <c r="W36" s="318"/>
      <c r="X36" s="318"/>
      <c r="Y36" s="85"/>
      <c r="Z36" s="86"/>
    </row>
    <row r="37" spans="1:26" s="76" customFormat="1" ht="21.95" customHeight="1">
      <c r="A37" s="311"/>
      <c r="B37" s="312"/>
      <c r="C37" s="315" t="s">
        <v>93</v>
      </c>
      <c r="D37" s="316"/>
      <c r="E37" s="316"/>
      <c r="F37" s="316"/>
      <c r="G37" s="316"/>
      <c r="H37" s="316"/>
      <c r="I37" s="317"/>
      <c r="J37" s="85"/>
      <c r="K37" s="85"/>
      <c r="L37" s="85"/>
      <c r="M37" s="85"/>
      <c r="N37" s="85"/>
      <c r="O37" s="85"/>
      <c r="P37" s="85"/>
      <c r="Q37" s="85"/>
      <c r="R37" s="85"/>
      <c r="S37" s="85"/>
      <c r="T37" s="85"/>
      <c r="U37" s="85"/>
      <c r="V37" s="318">
        <f>W17+W24+W32</f>
        <v>0</v>
      </c>
      <c r="W37" s="318"/>
      <c r="X37" s="318"/>
      <c r="Y37" s="85"/>
      <c r="Z37" s="86"/>
    </row>
    <row r="38" spans="1:26" s="76" customFormat="1" ht="21.95" customHeight="1" thickBot="1">
      <c r="A38" s="313"/>
      <c r="B38" s="314"/>
      <c r="C38" s="326" t="s">
        <v>20</v>
      </c>
      <c r="D38" s="327"/>
      <c r="E38" s="327"/>
      <c r="F38" s="327"/>
      <c r="G38" s="327"/>
      <c r="H38" s="327"/>
      <c r="I38" s="328"/>
      <c r="J38" s="87"/>
      <c r="K38" s="87"/>
      <c r="L38" s="87"/>
      <c r="M38" s="87"/>
      <c r="N38" s="87"/>
      <c r="O38" s="87"/>
      <c r="P38" s="87"/>
      <c r="Q38" s="87"/>
      <c r="R38" s="87"/>
      <c r="S38" s="87"/>
      <c r="T38" s="87"/>
      <c r="U38" s="87"/>
      <c r="V38" s="329">
        <f>Y17+Y24+Y32</f>
        <v>0</v>
      </c>
      <c r="W38" s="329"/>
      <c r="X38" s="329"/>
      <c r="Y38" s="88" t="s">
        <v>21</v>
      </c>
      <c r="Z38" s="89"/>
    </row>
    <row r="39" spans="1:26" s="76" customFormat="1" ht="21.95" customHeight="1"/>
    <row r="40" spans="1:26" s="76" customFormat="1" ht="21.95" customHeight="1"/>
    <row r="41" spans="1:26" s="76" customFormat="1" ht="21.95" customHeight="1"/>
    <row r="42" spans="1:26" s="76" customFormat="1" ht="21.95" customHeight="1"/>
    <row r="43" spans="1:26" s="76" customFormat="1" ht="21.95" customHeight="1"/>
    <row r="44" spans="1:26" s="76" customFormat="1" ht="21.95" customHeight="1"/>
    <row r="45" spans="1:26" s="76" customFormat="1" ht="21.95" customHeight="1"/>
    <row r="46" spans="1:26" s="76" customFormat="1" ht="21.95" customHeight="1"/>
    <row r="47" spans="1:26" s="76" customFormat="1" ht="21.95" customHeight="1"/>
    <row r="48" spans="1:26" s="76" customFormat="1" ht="21.95" customHeight="1"/>
    <row r="49" s="76" customFormat="1" ht="21.95" customHeight="1"/>
    <row r="50" s="76" customFormat="1" ht="21.95" customHeight="1"/>
    <row r="51" s="76" customFormat="1" ht="21.95" customHeight="1"/>
    <row r="52" s="76" customFormat="1" ht="21.95" customHeight="1"/>
    <row r="53" s="76" customFormat="1" ht="21.95" customHeight="1"/>
    <row r="54" s="76" customFormat="1" ht="21.95" customHeight="1"/>
    <row r="55" s="76" customFormat="1" ht="24.95" customHeight="1"/>
    <row r="56" s="76" customFormat="1" ht="24.95" customHeight="1"/>
    <row r="57" s="76" customFormat="1" ht="24.95" customHeight="1"/>
    <row r="58" s="76" customFormat="1" ht="24.95" customHeight="1"/>
    <row r="59" s="76" customFormat="1" ht="24.95" customHeight="1"/>
    <row r="60" s="76" customFormat="1" ht="24.95" customHeight="1"/>
    <row r="61" s="76" customFormat="1" ht="24.95" customHeight="1"/>
    <row r="62" s="76" customFormat="1" ht="24.95" customHeight="1"/>
    <row r="63" s="76" customFormat="1" ht="24.95" customHeight="1"/>
    <row r="64" s="76" customFormat="1" ht="24.95" customHeight="1"/>
    <row r="65" s="76" customFormat="1" ht="24.95" customHeight="1"/>
    <row r="66" s="76" customFormat="1" ht="24.95" customHeight="1"/>
    <row r="67" s="76" customFormat="1" ht="24.95" customHeight="1"/>
    <row r="68" s="76" customFormat="1" ht="24.95" customHeight="1"/>
    <row r="69" s="76" customFormat="1" ht="24.95" customHeight="1"/>
    <row r="70" s="76" customFormat="1" ht="24.95" customHeight="1"/>
    <row r="71" s="76" customFormat="1" ht="24.95" customHeight="1"/>
    <row r="72" s="76" customFormat="1" ht="24.95" customHeight="1"/>
    <row r="73" s="76" customFormat="1" ht="24.95" customHeight="1"/>
    <row r="74" s="76" customFormat="1" ht="24.95" customHeight="1"/>
    <row r="75" s="76" customFormat="1" ht="24.95" customHeight="1"/>
    <row r="76" s="76" customFormat="1" ht="24.95" customHeight="1"/>
    <row r="77" s="76" customFormat="1" ht="24.95" customHeight="1"/>
    <row r="78" s="76" customFormat="1" ht="24.95" customHeight="1"/>
    <row r="79" s="76" customFormat="1" ht="24.95" customHeight="1"/>
    <row r="80" s="76" customFormat="1" ht="24.95" customHeight="1"/>
    <row r="81" s="76" customFormat="1" ht="24.95" customHeight="1"/>
    <row r="82" s="76" customFormat="1" ht="24.95" customHeight="1"/>
    <row r="83" s="76" customFormat="1" ht="24.95" customHeight="1"/>
    <row r="84" s="76" customFormat="1" ht="24.95" customHeight="1"/>
    <row r="85" s="76" customFormat="1" ht="24.95" customHeight="1"/>
    <row r="86" s="76" customFormat="1" ht="24.95" customHeight="1"/>
    <row r="87" s="76" customFormat="1" ht="24.95" customHeight="1"/>
    <row r="88" s="90" customFormat="1" ht="24.95" customHeight="1"/>
    <row r="89" s="90" customFormat="1" ht="24.95" customHeight="1"/>
    <row r="90" ht="24.95" customHeight="1"/>
    <row r="91" ht="24.95" customHeight="1"/>
    <row r="92" ht="24.95" customHeight="1"/>
    <row r="93" ht="24.95" customHeight="1"/>
    <row r="94" ht="24.95" customHeight="1"/>
    <row r="95" ht="24.95" customHeight="1"/>
    <row r="96" ht="24.95" customHeight="1"/>
    <row r="97" ht="24.95" customHeight="1"/>
    <row r="98" ht="24.95" customHeight="1"/>
    <row r="99" ht="24.95" customHeight="1"/>
    <row r="100" ht="24.95" customHeight="1"/>
  </sheetData>
  <sheetProtection sheet="1" objects="1" scenarios="1"/>
  <mergeCells count="241">
    <mergeCell ref="I23:L23"/>
    <mergeCell ref="I27:J28"/>
    <mergeCell ref="I24:T24"/>
    <mergeCell ref="I32:T32"/>
    <mergeCell ref="C5:D6"/>
    <mergeCell ref="E5:F6"/>
    <mergeCell ref="M5:N6"/>
    <mergeCell ref="O5:T5"/>
    <mergeCell ref="M7:N7"/>
    <mergeCell ref="O7:P7"/>
    <mergeCell ref="S9:T9"/>
    <mergeCell ref="S11:T11"/>
    <mergeCell ref="S13:T13"/>
    <mergeCell ref="M22:N22"/>
    <mergeCell ref="O22:P22"/>
    <mergeCell ref="Q22:R22"/>
    <mergeCell ref="S22:T22"/>
    <mergeCell ref="I20:L21"/>
    <mergeCell ref="I22:L22"/>
    <mergeCell ref="K30:L30"/>
    <mergeCell ref="M30:N30"/>
    <mergeCell ref="O30:P30"/>
    <mergeCell ref="I30:J30"/>
    <mergeCell ref="I29:J29"/>
    <mergeCell ref="A1:Z1"/>
    <mergeCell ref="Q3:T3"/>
    <mergeCell ref="U3:V3"/>
    <mergeCell ref="W3:X3"/>
    <mergeCell ref="A4:B6"/>
    <mergeCell ref="C4:F4"/>
    <mergeCell ref="G4:H6"/>
    <mergeCell ref="I4:J6"/>
    <mergeCell ref="K4:L6"/>
    <mergeCell ref="M4:T4"/>
    <mergeCell ref="I7:J7"/>
    <mergeCell ref="K7:L7"/>
    <mergeCell ref="Q7:R7"/>
    <mergeCell ref="S7:T7"/>
    <mergeCell ref="U7:V7"/>
    <mergeCell ref="AC5:AD5"/>
    <mergeCell ref="AG5:AH5"/>
    <mergeCell ref="AJ5:AK5"/>
    <mergeCell ref="AM5:AN5"/>
    <mergeCell ref="O6:P6"/>
    <mergeCell ref="Q6:R6"/>
    <mergeCell ref="S6:T6"/>
    <mergeCell ref="U4:V6"/>
    <mergeCell ref="W4:X6"/>
    <mergeCell ref="Y4:Z6"/>
    <mergeCell ref="I9:J9"/>
    <mergeCell ref="K9:L9"/>
    <mergeCell ref="M9:N9"/>
    <mergeCell ref="O9:P9"/>
    <mergeCell ref="Q9:R9"/>
    <mergeCell ref="W7:X7"/>
    <mergeCell ref="Y7:Z7"/>
    <mergeCell ref="A8:B8"/>
    <mergeCell ref="C8:D8"/>
    <mergeCell ref="E8:F8"/>
    <mergeCell ref="G8:H8"/>
    <mergeCell ref="I8:J8"/>
    <mergeCell ref="K8:L8"/>
    <mergeCell ref="M8:N8"/>
    <mergeCell ref="O8:P8"/>
    <mergeCell ref="Q8:R8"/>
    <mergeCell ref="S8:T8"/>
    <mergeCell ref="U8:V8"/>
    <mergeCell ref="W8:X8"/>
    <mergeCell ref="Y8:Z8"/>
    <mergeCell ref="A7:B7"/>
    <mergeCell ref="C7:D7"/>
    <mergeCell ref="E7:F7"/>
    <mergeCell ref="G7:H7"/>
    <mergeCell ref="K11:L11"/>
    <mergeCell ref="M11:N11"/>
    <mergeCell ref="O11:P11"/>
    <mergeCell ref="Q11:R11"/>
    <mergeCell ref="U9:V9"/>
    <mergeCell ref="W9:X9"/>
    <mergeCell ref="Y9:Z9"/>
    <mergeCell ref="A10:B10"/>
    <mergeCell ref="C10:D10"/>
    <mergeCell ref="E10:F10"/>
    <mergeCell ref="G10:H10"/>
    <mergeCell ref="I10:J10"/>
    <mergeCell ref="K10:L10"/>
    <mergeCell ref="M10:N10"/>
    <mergeCell ref="O10:P10"/>
    <mergeCell ref="Q10:R10"/>
    <mergeCell ref="S10:T10"/>
    <mergeCell ref="U10:V10"/>
    <mergeCell ref="W10:X10"/>
    <mergeCell ref="Y10:Z10"/>
    <mergeCell ref="A9:B9"/>
    <mergeCell ref="C9:D9"/>
    <mergeCell ref="E9:F9"/>
    <mergeCell ref="G9:H9"/>
    <mergeCell ref="M13:N13"/>
    <mergeCell ref="O13:P13"/>
    <mergeCell ref="Q13:R13"/>
    <mergeCell ref="U11:V11"/>
    <mergeCell ref="W11:X11"/>
    <mergeCell ref="Y11:Z11"/>
    <mergeCell ref="A12:B12"/>
    <mergeCell ref="C12:D12"/>
    <mergeCell ref="E12:F12"/>
    <mergeCell ref="G12:H12"/>
    <mergeCell ref="I12:J12"/>
    <mergeCell ref="K12:L12"/>
    <mergeCell ref="M12:N12"/>
    <mergeCell ref="O12:P12"/>
    <mergeCell ref="Q12:R12"/>
    <mergeCell ref="S12:T12"/>
    <mergeCell ref="U12:V12"/>
    <mergeCell ref="W12:X12"/>
    <mergeCell ref="Y12:Z12"/>
    <mergeCell ref="A11:B11"/>
    <mergeCell ref="C11:D11"/>
    <mergeCell ref="E11:F11"/>
    <mergeCell ref="G11:H11"/>
    <mergeCell ref="I11:J11"/>
    <mergeCell ref="Y15:Z15"/>
    <mergeCell ref="W15:X15"/>
    <mergeCell ref="U13:V13"/>
    <mergeCell ref="W13:X13"/>
    <mergeCell ref="Y13:Z13"/>
    <mergeCell ref="A14:B14"/>
    <mergeCell ref="C14:D14"/>
    <mergeCell ref="E14:F14"/>
    <mergeCell ref="G14:H14"/>
    <mergeCell ref="I14:J14"/>
    <mergeCell ref="K14:L14"/>
    <mergeCell ref="M14:N14"/>
    <mergeCell ref="O14:P14"/>
    <mergeCell ref="Q14:R14"/>
    <mergeCell ref="S14:T14"/>
    <mergeCell ref="U14:V14"/>
    <mergeCell ref="W14:X14"/>
    <mergeCell ref="Y14:Z14"/>
    <mergeCell ref="A13:B13"/>
    <mergeCell ref="C13:D13"/>
    <mergeCell ref="E13:F13"/>
    <mergeCell ref="G13:H13"/>
    <mergeCell ref="I13:J13"/>
    <mergeCell ref="K13:L13"/>
    <mergeCell ref="Q15:R15"/>
    <mergeCell ref="S15:T15"/>
    <mergeCell ref="U15:V15"/>
    <mergeCell ref="A15:B15"/>
    <mergeCell ref="C15:D15"/>
    <mergeCell ref="E15:F15"/>
    <mergeCell ref="G15:H15"/>
    <mergeCell ref="I15:J15"/>
    <mergeCell ref="K15:L15"/>
    <mergeCell ref="M15:N15"/>
    <mergeCell ref="O15:P15"/>
    <mergeCell ref="W16:X16"/>
    <mergeCell ref="Y16:Z16"/>
    <mergeCell ref="A17:T17"/>
    <mergeCell ref="U17:V17"/>
    <mergeCell ref="W17:X17"/>
    <mergeCell ref="Y17:Z17"/>
    <mergeCell ref="K16:L16"/>
    <mergeCell ref="M16:N16"/>
    <mergeCell ref="O16:P16"/>
    <mergeCell ref="Q16:R16"/>
    <mergeCell ref="A16:B16"/>
    <mergeCell ref="C16:D16"/>
    <mergeCell ref="E16:F16"/>
    <mergeCell ref="G16:H16"/>
    <mergeCell ref="I16:J16"/>
    <mergeCell ref="S16:T16"/>
    <mergeCell ref="U16:V16"/>
    <mergeCell ref="AM18:AN18"/>
    <mergeCell ref="M20:P20"/>
    <mergeCell ref="Q20:R21"/>
    <mergeCell ref="S20:T21"/>
    <mergeCell ref="U20:V21"/>
    <mergeCell ref="W20:X21"/>
    <mergeCell ref="Y20:Z21"/>
    <mergeCell ref="AM20:AN20"/>
    <mergeCell ref="M21:N21"/>
    <mergeCell ref="O21:P21"/>
    <mergeCell ref="U22:V22"/>
    <mergeCell ref="W22:X22"/>
    <mergeCell ref="Y22:Z22"/>
    <mergeCell ref="M23:N23"/>
    <mergeCell ref="O23:P23"/>
    <mergeCell ref="Q23:R23"/>
    <mergeCell ref="S23:T23"/>
    <mergeCell ref="U23:V23"/>
    <mergeCell ref="W23:X23"/>
    <mergeCell ref="Y23:Z23"/>
    <mergeCell ref="U24:V24"/>
    <mergeCell ref="W24:X24"/>
    <mergeCell ref="Y24:Z24"/>
    <mergeCell ref="K27:L28"/>
    <mergeCell ref="M27:N28"/>
    <mergeCell ref="O27:P28"/>
    <mergeCell ref="Q27:R28"/>
    <mergeCell ref="S27:T28"/>
    <mergeCell ref="K29:L29"/>
    <mergeCell ref="M29:N29"/>
    <mergeCell ref="O29:P29"/>
    <mergeCell ref="Q29:R29"/>
    <mergeCell ref="S29:T29"/>
    <mergeCell ref="U29:V29"/>
    <mergeCell ref="W30:X30"/>
    <mergeCell ref="Y30:Z30"/>
    <mergeCell ref="U27:V28"/>
    <mergeCell ref="W27:X28"/>
    <mergeCell ref="Y27:Z28"/>
    <mergeCell ref="W29:X29"/>
    <mergeCell ref="Q31:R31"/>
    <mergeCell ref="S31:T31"/>
    <mergeCell ref="U31:V31"/>
    <mergeCell ref="Y29:Z29"/>
    <mergeCell ref="Q30:R30"/>
    <mergeCell ref="S30:T30"/>
    <mergeCell ref="U30:V30"/>
    <mergeCell ref="W31:X31"/>
    <mergeCell ref="Y31:Z31"/>
    <mergeCell ref="U32:V32"/>
    <mergeCell ref="W32:X32"/>
    <mergeCell ref="Y32:Z32"/>
    <mergeCell ref="K31:L31"/>
    <mergeCell ref="M31:N31"/>
    <mergeCell ref="O31:P31"/>
    <mergeCell ref="I31:J31"/>
    <mergeCell ref="C38:I38"/>
    <mergeCell ref="V38:X38"/>
    <mergeCell ref="A35:B38"/>
    <mergeCell ref="C35:I35"/>
    <mergeCell ref="K35:M35"/>
    <mergeCell ref="P35:Q35"/>
    <mergeCell ref="T35:U35"/>
    <mergeCell ref="X35:Y35"/>
    <mergeCell ref="C36:I36"/>
    <mergeCell ref="V36:X36"/>
    <mergeCell ref="C37:I37"/>
    <mergeCell ref="V37:X37"/>
  </mergeCells>
  <phoneticPr fontId="2"/>
  <conditionalFormatting sqref="U17:V17">
    <cfRule type="expression" dxfId="187" priority="49" stopIfTrue="1">
      <formula>$U$17=0</formula>
    </cfRule>
  </conditionalFormatting>
  <conditionalFormatting sqref="W17:X17">
    <cfRule type="expression" dxfId="186" priority="48" stopIfTrue="1">
      <formula>$W$17=0</formula>
    </cfRule>
  </conditionalFormatting>
  <conditionalFormatting sqref="Y17:Z17">
    <cfRule type="expression" dxfId="185" priority="47" stopIfTrue="1">
      <formula>$Y$17=0</formula>
    </cfRule>
  </conditionalFormatting>
  <conditionalFormatting sqref="U24:V24">
    <cfRule type="expression" dxfId="184" priority="46" stopIfTrue="1">
      <formula>$U$24:$V$24=0</formula>
    </cfRule>
  </conditionalFormatting>
  <conditionalFormatting sqref="U32:V32">
    <cfRule type="expression" dxfId="183" priority="45" stopIfTrue="1">
      <formula>$U$32:$V$32=0</formula>
    </cfRule>
  </conditionalFormatting>
  <conditionalFormatting sqref="X35:Y35">
    <cfRule type="expression" dxfId="182" priority="44" stopIfTrue="1">
      <formula>$X$35=0</formula>
    </cfRule>
  </conditionalFormatting>
  <conditionalFormatting sqref="P35:Q35">
    <cfRule type="expression" dxfId="181" priority="43" stopIfTrue="1">
      <formula>$P$35=0</formula>
    </cfRule>
  </conditionalFormatting>
  <conditionalFormatting sqref="T35:U35">
    <cfRule type="expression" dxfId="180" priority="42" stopIfTrue="1">
      <formula>$T$35=0</formula>
    </cfRule>
  </conditionalFormatting>
  <conditionalFormatting sqref="K35:M35">
    <cfRule type="expression" dxfId="179" priority="41" stopIfTrue="1">
      <formula>$K$35=0</formula>
    </cfRule>
  </conditionalFormatting>
  <conditionalFormatting sqref="W7:X7">
    <cfRule type="expression" dxfId="178" priority="39" stopIfTrue="1">
      <formula>#VALUE!</formula>
    </cfRule>
    <cfRule type="expression" dxfId="177" priority="40" stopIfTrue="1">
      <formula>#VALUE!</formula>
    </cfRule>
  </conditionalFormatting>
  <conditionalFormatting sqref="W16:X16">
    <cfRule type="expression" dxfId="176" priority="38" stopIfTrue="1">
      <formula>#VALUE!</formula>
    </cfRule>
  </conditionalFormatting>
  <conditionalFormatting sqref="W7:X7">
    <cfRule type="expression" dxfId="175" priority="26" stopIfTrue="1">
      <formula>#VALUE!</formula>
    </cfRule>
    <cfRule type="expression" dxfId="174" priority="27" stopIfTrue="1">
      <formula>#VALUE!</formula>
    </cfRule>
  </conditionalFormatting>
  <conditionalFormatting sqref="W16:X16">
    <cfRule type="expression" dxfId="173" priority="25" stopIfTrue="1">
      <formula>#VALUE!</formula>
    </cfRule>
  </conditionalFormatting>
  <conditionalFormatting sqref="W24:X24">
    <cfRule type="expression" dxfId="172" priority="24" stopIfTrue="1">
      <formula>$W$24:$X$24=0</formula>
    </cfRule>
  </conditionalFormatting>
  <conditionalFormatting sqref="Y24:Z24">
    <cfRule type="expression" dxfId="171" priority="23" stopIfTrue="1">
      <formula>$Y$24:$Z$24=0</formula>
    </cfRule>
  </conditionalFormatting>
  <conditionalFormatting sqref="W32:X32">
    <cfRule type="expression" dxfId="170" priority="22" stopIfTrue="1">
      <formula>$U$32:$V$32=0</formula>
    </cfRule>
  </conditionalFormatting>
  <conditionalFormatting sqref="Y32:Z32">
    <cfRule type="expression" dxfId="169" priority="21" stopIfTrue="1">
      <formula>$Y$32:$Z$32=0</formula>
    </cfRule>
  </conditionalFormatting>
  <conditionalFormatting sqref="O7:T7">
    <cfRule type="expression" dxfId="168" priority="10" stopIfTrue="1">
      <formula>$AF$7=TRUE</formula>
    </cfRule>
  </conditionalFormatting>
  <conditionalFormatting sqref="O12:T12">
    <cfRule type="expression" dxfId="167" priority="9" stopIfTrue="1">
      <formula>$AF$12=TRUE</formula>
    </cfRule>
  </conditionalFormatting>
  <conditionalFormatting sqref="O13:T13">
    <cfRule type="expression" dxfId="166" priority="8" stopIfTrue="1">
      <formula>$AF$13=TRUE</formula>
    </cfRule>
  </conditionalFormatting>
  <conditionalFormatting sqref="O14:T14">
    <cfRule type="expression" dxfId="165" priority="7" stopIfTrue="1">
      <formula>$AF$14=TRUE</formula>
    </cfRule>
  </conditionalFormatting>
  <conditionalFormatting sqref="O15:T15">
    <cfRule type="expression" dxfId="164" priority="6" stopIfTrue="1">
      <formula>$AF$15=TRUE</formula>
    </cfRule>
  </conditionalFormatting>
  <conditionalFormatting sqref="O16:T16">
    <cfRule type="expression" dxfId="163" priority="5" stopIfTrue="1">
      <formula>$AF$16=TRUE</formula>
    </cfRule>
  </conditionalFormatting>
  <conditionalFormatting sqref="O9:T9">
    <cfRule type="expression" dxfId="162" priority="4" stopIfTrue="1">
      <formula>$AF$9=TRUE</formula>
    </cfRule>
  </conditionalFormatting>
  <conditionalFormatting sqref="O10:T10">
    <cfRule type="expression" dxfId="161" priority="3" stopIfTrue="1">
      <formula>$AF$10=TRUE</formula>
    </cfRule>
  </conditionalFormatting>
  <conditionalFormatting sqref="O11:T11">
    <cfRule type="expression" dxfId="160" priority="2" stopIfTrue="1">
      <formula>$AF$11=TRUE</formula>
    </cfRule>
  </conditionalFormatting>
  <conditionalFormatting sqref="O8:T8">
    <cfRule type="expression" dxfId="159" priority="1" stopIfTrue="1">
      <formula>$AF$8=TRUE</formula>
    </cfRule>
  </conditionalFormatting>
  <dataValidations count="1">
    <dataValidation type="list" allowBlank="1" showInputMessage="1" showErrorMessage="1" sqref="S22:T23 K7:L16">
      <formula1>"　,雨戸,ｼｬｯﾀｰ,障子,風除室"</formula1>
    </dataValidation>
  </dataValidations>
  <pageMargins left="0.59055118110236227" right="0.39370078740157483" top="0.98425196850393704" bottom="0.78740157480314965" header="0.31496062992125984" footer="0.39370078740157483"/>
  <pageSetup paperSize="9" scale="90" orientation="portrait" horizontalDpi="300" verticalDpi="300" r:id="rId1"/>
  <headerFooter>
    <oddHeader>&amp;Rver. 1.3 (excel2007)[H28]</oddHeader>
    <oddFooter>&amp;Cⓒ　2013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9329" r:id="rId4" name="Check Box 1">
              <controlPr defaultSize="0" autoFill="0" autoLine="0" autoPict="0">
                <anchor moveWithCells="1">
                  <from>
                    <xdr:col>12</xdr:col>
                    <xdr:colOff>190500</xdr:colOff>
                    <xdr:row>6</xdr:row>
                    <xdr:rowOff>47625</xdr:rowOff>
                  </from>
                  <to>
                    <xdr:col>13</xdr:col>
                    <xdr:colOff>200025</xdr:colOff>
                    <xdr:row>6</xdr:row>
                    <xdr:rowOff>257175</xdr:rowOff>
                  </to>
                </anchor>
              </controlPr>
            </control>
          </mc:Choice>
        </mc:AlternateContent>
        <mc:AlternateContent xmlns:mc="http://schemas.openxmlformats.org/markup-compatibility/2006">
          <mc:Choice Requires="x14">
            <control shapeId="99330" r:id="rId5" name="Check Box 2">
              <controlPr defaultSize="0" autoFill="0" autoLine="0" autoPict="0">
                <anchor moveWithCells="1">
                  <from>
                    <xdr:col>12</xdr:col>
                    <xdr:colOff>190500</xdr:colOff>
                    <xdr:row>7</xdr:row>
                    <xdr:rowOff>47625</xdr:rowOff>
                  </from>
                  <to>
                    <xdr:col>13</xdr:col>
                    <xdr:colOff>200025</xdr:colOff>
                    <xdr:row>7</xdr:row>
                    <xdr:rowOff>257175</xdr:rowOff>
                  </to>
                </anchor>
              </controlPr>
            </control>
          </mc:Choice>
        </mc:AlternateContent>
        <mc:AlternateContent xmlns:mc="http://schemas.openxmlformats.org/markup-compatibility/2006">
          <mc:Choice Requires="x14">
            <control shapeId="99331" r:id="rId6" name="Check Box 3">
              <controlPr defaultSize="0" autoFill="0" autoLine="0" autoPict="0">
                <anchor moveWithCells="1">
                  <from>
                    <xdr:col>12</xdr:col>
                    <xdr:colOff>190500</xdr:colOff>
                    <xdr:row>11</xdr:row>
                    <xdr:rowOff>47625</xdr:rowOff>
                  </from>
                  <to>
                    <xdr:col>13</xdr:col>
                    <xdr:colOff>200025</xdr:colOff>
                    <xdr:row>11</xdr:row>
                    <xdr:rowOff>257175</xdr:rowOff>
                  </to>
                </anchor>
              </controlPr>
            </control>
          </mc:Choice>
        </mc:AlternateContent>
        <mc:AlternateContent xmlns:mc="http://schemas.openxmlformats.org/markup-compatibility/2006">
          <mc:Choice Requires="x14">
            <control shapeId="99332" r:id="rId7" name="Check Box 4">
              <controlPr defaultSize="0" autoFill="0" autoLine="0" autoPict="0">
                <anchor moveWithCells="1">
                  <from>
                    <xdr:col>12</xdr:col>
                    <xdr:colOff>190500</xdr:colOff>
                    <xdr:row>12</xdr:row>
                    <xdr:rowOff>47625</xdr:rowOff>
                  </from>
                  <to>
                    <xdr:col>13</xdr:col>
                    <xdr:colOff>200025</xdr:colOff>
                    <xdr:row>12</xdr:row>
                    <xdr:rowOff>257175</xdr:rowOff>
                  </to>
                </anchor>
              </controlPr>
            </control>
          </mc:Choice>
        </mc:AlternateContent>
        <mc:AlternateContent xmlns:mc="http://schemas.openxmlformats.org/markup-compatibility/2006">
          <mc:Choice Requires="x14">
            <control shapeId="99333" r:id="rId8" name="Check Box 5">
              <controlPr defaultSize="0" autoFill="0" autoLine="0" autoPict="0">
                <anchor moveWithCells="1">
                  <from>
                    <xdr:col>12</xdr:col>
                    <xdr:colOff>190500</xdr:colOff>
                    <xdr:row>13</xdr:row>
                    <xdr:rowOff>47625</xdr:rowOff>
                  </from>
                  <to>
                    <xdr:col>13</xdr:col>
                    <xdr:colOff>200025</xdr:colOff>
                    <xdr:row>13</xdr:row>
                    <xdr:rowOff>257175</xdr:rowOff>
                  </to>
                </anchor>
              </controlPr>
            </control>
          </mc:Choice>
        </mc:AlternateContent>
        <mc:AlternateContent xmlns:mc="http://schemas.openxmlformats.org/markup-compatibility/2006">
          <mc:Choice Requires="x14">
            <control shapeId="99334" r:id="rId9" name="Check Box 6">
              <controlPr defaultSize="0" autoFill="0" autoLine="0" autoPict="0">
                <anchor moveWithCells="1">
                  <from>
                    <xdr:col>12</xdr:col>
                    <xdr:colOff>190500</xdr:colOff>
                    <xdr:row>14</xdr:row>
                    <xdr:rowOff>47625</xdr:rowOff>
                  </from>
                  <to>
                    <xdr:col>13</xdr:col>
                    <xdr:colOff>200025</xdr:colOff>
                    <xdr:row>14</xdr:row>
                    <xdr:rowOff>257175</xdr:rowOff>
                  </to>
                </anchor>
              </controlPr>
            </control>
          </mc:Choice>
        </mc:AlternateContent>
        <mc:AlternateContent xmlns:mc="http://schemas.openxmlformats.org/markup-compatibility/2006">
          <mc:Choice Requires="x14">
            <control shapeId="99335" r:id="rId10" name="Check Box 7">
              <controlPr defaultSize="0" autoFill="0" autoLine="0" autoPict="0">
                <anchor moveWithCells="1">
                  <from>
                    <xdr:col>12</xdr:col>
                    <xdr:colOff>190500</xdr:colOff>
                    <xdr:row>15</xdr:row>
                    <xdr:rowOff>47625</xdr:rowOff>
                  </from>
                  <to>
                    <xdr:col>13</xdr:col>
                    <xdr:colOff>200025</xdr:colOff>
                    <xdr:row>15</xdr:row>
                    <xdr:rowOff>257175</xdr:rowOff>
                  </to>
                </anchor>
              </controlPr>
            </control>
          </mc:Choice>
        </mc:AlternateContent>
        <mc:AlternateContent xmlns:mc="http://schemas.openxmlformats.org/markup-compatibility/2006">
          <mc:Choice Requires="x14">
            <control shapeId="99336" r:id="rId11" name="Check Box 8">
              <controlPr defaultSize="0" autoFill="0" autoLine="0" autoPict="0">
                <anchor moveWithCells="1">
                  <from>
                    <xdr:col>12</xdr:col>
                    <xdr:colOff>190500</xdr:colOff>
                    <xdr:row>8</xdr:row>
                    <xdr:rowOff>47625</xdr:rowOff>
                  </from>
                  <to>
                    <xdr:col>13</xdr:col>
                    <xdr:colOff>200025</xdr:colOff>
                    <xdr:row>8</xdr:row>
                    <xdr:rowOff>257175</xdr:rowOff>
                  </to>
                </anchor>
              </controlPr>
            </control>
          </mc:Choice>
        </mc:AlternateContent>
        <mc:AlternateContent xmlns:mc="http://schemas.openxmlformats.org/markup-compatibility/2006">
          <mc:Choice Requires="x14">
            <control shapeId="99337" r:id="rId12" name="Check Box 9">
              <controlPr defaultSize="0" autoFill="0" autoLine="0" autoPict="0">
                <anchor moveWithCells="1">
                  <from>
                    <xdr:col>12</xdr:col>
                    <xdr:colOff>190500</xdr:colOff>
                    <xdr:row>9</xdr:row>
                    <xdr:rowOff>47625</xdr:rowOff>
                  </from>
                  <to>
                    <xdr:col>13</xdr:col>
                    <xdr:colOff>200025</xdr:colOff>
                    <xdr:row>9</xdr:row>
                    <xdr:rowOff>257175</xdr:rowOff>
                  </to>
                </anchor>
              </controlPr>
            </control>
          </mc:Choice>
        </mc:AlternateContent>
        <mc:AlternateContent xmlns:mc="http://schemas.openxmlformats.org/markup-compatibility/2006">
          <mc:Choice Requires="x14">
            <control shapeId="99338" r:id="rId13" name="Check Box 10">
              <controlPr defaultSize="0" autoFill="0" autoLine="0" autoPict="0">
                <anchor moveWithCells="1">
                  <from>
                    <xdr:col>12</xdr:col>
                    <xdr:colOff>190500</xdr:colOff>
                    <xdr:row>10</xdr:row>
                    <xdr:rowOff>47625</xdr:rowOff>
                  </from>
                  <to>
                    <xdr:col>13</xdr:col>
                    <xdr:colOff>200025</xdr:colOff>
                    <xdr:row>10</xdr:row>
                    <xdr:rowOff>257175</xdr:rowOff>
                  </to>
                </anchor>
              </controlPr>
            </control>
          </mc:Choice>
        </mc:AlternateContent>
        <mc:AlternateContent xmlns:mc="http://schemas.openxmlformats.org/markup-compatibility/2006">
          <mc:Choice Requires="x14">
            <control shapeId="99350" r:id="rId14" name="Check Box 22">
              <controlPr defaultSize="0" autoFill="0" autoLine="0" autoPict="0">
                <anchor moveWithCells="1">
                  <from>
                    <xdr:col>18</xdr:col>
                    <xdr:colOff>190500</xdr:colOff>
                    <xdr:row>28</xdr:row>
                    <xdr:rowOff>47625</xdr:rowOff>
                  </from>
                  <to>
                    <xdr:col>19</xdr:col>
                    <xdr:colOff>200025</xdr:colOff>
                    <xdr:row>28</xdr:row>
                    <xdr:rowOff>257175</xdr:rowOff>
                  </to>
                </anchor>
              </controlPr>
            </control>
          </mc:Choice>
        </mc:AlternateContent>
        <mc:AlternateContent xmlns:mc="http://schemas.openxmlformats.org/markup-compatibility/2006">
          <mc:Choice Requires="x14">
            <control shapeId="99351" r:id="rId15" name="Check Box 23">
              <controlPr defaultSize="0" autoFill="0" autoLine="0" autoPict="0">
                <anchor moveWithCells="1">
                  <from>
                    <xdr:col>18</xdr:col>
                    <xdr:colOff>190500</xdr:colOff>
                    <xdr:row>29</xdr:row>
                    <xdr:rowOff>47625</xdr:rowOff>
                  </from>
                  <to>
                    <xdr:col>19</xdr:col>
                    <xdr:colOff>200025</xdr:colOff>
                    <xdr:row>29</xdr:row>
                    <xdr:rowOff>257175</xdr:rowOff>
                  </to>
                </anchor>
              </controlPr>
            </control>
          </mc:Choice>
        </mc:AlternateContent>
        <mc:AlternateContent xmlns:mc="http://schemas.openxmlformats.org/markup-compatibility/2006">
          <mc:Choice Requires="x14">
            <control shapeId="99352" r:id="rId16" name="Check Box 24">
              <controlPr defaultSize="0" autoFill="0" autoLine="0" autoPict="0">
                <anchor moveWithCells="1">
                  <from>
                    <xdr:col>18</xdr:col>
                    <xdr:colOff>190500</xdr:colOff>
                    <xdr:row>30</xdr:row>
                    <xdr:rowOff>47625</xdr:rowOff>
                  </from>
                  <to>
                    <xdr:col>19</xdr:col>
                    <xdr:colOff>200025</xdr:colOff>
                    <xdr:row>30</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0"/>
  <sheetViews>
    <sheetView zoomScaleNormal="100" workbookViewId="0">
      <selection sqref="A1:Z1"/>
    </sheetView>
  </sheetViews>
  <sheetFormatPr defaultRowHeight="13.5"/>
  <cols>
    <col min="1" max="28" width="3.875" style="91" customWidth="1"/>
    <col min="29" max="30" width="10.625" style="91" hidden="1" customWidth="1"/>
    <col min="31" max="31" width="2.625" style="91" hidden="1" customWidth="1"/>
    <col min="32" max="34" width="10.625" style="91" hidden="1" customWidth="1"/>
    <col min="35" max="35" width="2.625" style="91" hidden="1" customWidth="1"/>
    <col min="36" max="37" width="15.625" style="91" hidden="1" customWidth="1"/>
    <col min="38" max="38" width="2.625" style="91" hidden="1" customWidth="1"/>
    <col min="39" max="40" width="10.625" style="91" hidden="1" customWidth="1"/>
    <col min="41" max="42" width="3.625" style="91" customWidth="1"/>
    <col min="43" max="48" width="4.625" style="91" customWidth="1"/>
    <col min="49" max="16384" width="9" style="91"/>
  </cols>
  <sheetData>
    <row r="1" spans="1:40" s="75" customFormat="1" ht="30" customHeight="1">
      <c r="A1" s="228" t="s">
        <v>139</v>
      </c>
      <c r="B1" s="228"/>
      <c r="C1" s="228"/>
      <c r="D1" s="228"/>
      <c r="E1" s="228"/>
      <c r="F1" s="228"/>
      <c r="G1" s="228"/>
      <c r="H1" s="228"/>
      <c r="I1" s="228"/>
      <c r="J1" s="228"/>
      <c r="K1" s="228"/>
      <c r="L1" s="228"/>
      <c r="M1" s="228"/>
      <c r="N1" s="228"/>
      <c r="O1" s="228"/>
      <c r="P1" s="228"/>
      <c r="Q1" s="228"/>
      <c r="R1" s="228"/>
      <c r="S1" s="228"/>
      <c r="T1" s="228"/>
      <c r="U1" s="228"/>
      <c r="V1" s="228"/>
      <c r="W1" s="228"/>
      <c r="X1" s="228"/>
      <c r="Y1" s="228"/>
      <c r="Z1" s="228"/>
    </row>
    <row r="2" spans="1:40" s="76" customFormat="1" ht="24.95" customHeight="1" thickBot="1"/>
    <row r="3" spans="1:40" s="76" customFormat="1" ht="21.95" customHeight="1" thickBot="1">
      <c r="A3" s="77" t="s">
        <v>5</v>
      </c>
      <c r="Q3" s="229" t="s">
        <v>37</v>
      </c>
      <c r="R3" s="230"/>
      <c r="S3" s="230"/>
      <c r="T3" s="231"/>
      <c r="U3" s="374" t="b">
        <f>IF(共通条件・結果!Z6="８地域","0.528",IF(共通条件・結果!Z6="７地域",0.49,IF(共通条件・結果!Z6="６地域",0.498,IF(共通条件・結果!Z6="５地域",0.5,IF(共通条件・結果!Z6="４地域",0.508,IF(共通条件・結果!Z6="３地域",0.487,IF(共通条件・結果!Z6="２地域",0.527,IF(共通条件・結果!Z6="１地域",0.56))))))))</f>
        <v>0</v>
      </c>
      <c r="V3" s="375"/>
      <c r="W3" s="376" t="b">
        <f>IF(共通条件・結果!Z6="８地域","-",IF(共通条件・結果!Z6="７地域",0.843,IF(共通条件・結果!Z6="６地域",0.833,IF(共通条件・結果!Z6="５地域",0.846,IF(共通条件・結果!Z6="４地域",0.724,IF(共通条件・結果!Z6="３地域",0.751,IF(共通条件・結果!Z6="２地域",0.766,IF(共通条件・結果!Z6="１地域",0.823))))))))</f>
        <v>0</v>
      </c>
      <c r="X3" s="377"/>
    </row>
    <row r="4" spans="1:40" s="76" customFormat="1" ht="21.95" customHeight="1">
      <c r="A4" s="236" t="s">
        <v>6</v>
      </c>
      <c r="B4" s="237"/>
      <c r="C4" s="237" t="s">
        <v>113</v>
      </c>
      <c r="D4" s="237"/>
      <c r="E4" s="237"/>
      <c r="F4" s="237"/>
      <c r="G4" s="237" t="s">
        <v>7</v>
      </c>
      <c r="H4" s="237"/>
      <c r="I4" s="254" t="s">
        <v>127</v>
      </c>
      <c r="J4" s="237"/>
      <c r="K4" s="254" t="s">
        <v>10</v>
      </c>
      <c r="L4" s="237"/>
      <c r="M4" s="262" t="s">
        <v>91</v>
      </c>
      <c r="N4" s="263"/>
      <c r="O4" s="263"/>
      <c r="P4" s="263"/>
      <c r="Q4" s="263"/>
      <c r="R4" s="263"/>
      <c r="S4" s="263"/>
      <c r="T4" s="263"/>
      <c r="U4" s="254" t="s">
        <v>86</v>
      </c>
      <c r="V4" s="237"/>
      <c r="W4" s="254" t="s">
        <v>87</v>
      </c>
      <c r="X4" s="237"/>
      <c r="Y4" s="237" t="s">
        <v>13</v>
      </c>
      <c r="Z4" s="256"/>
    </row>
    <row r="5" spans="1:40" s="76" customFormat="1" ht="21.95" customHeight="1">
      <c r="A5" s="238"/>
      <c r="B5" s="239"/>
      <c r="C5" s="242" t="s">
        <v>9</v>
      </c>
      <c r="D5" s="243"/>
      <c r="E5" s="246" t="s">
        <v>8</v>
      </c>
      <c r="F5" s="247"/>
      <c r="G5" s="239"/>
      <c r="H5" s="239"/>
      <c r="I5" s="255"/>
      <c r="J5" s="239"/>
      <c r="K5" s="255"/>
      <c r="L5" s="239"/>
      <c r="M5" s="250" t="s">
        <v>89</v>
      </c>
      <c r="N5" s="251"/>
      <c r="O5" s="259" t="s">
        <v>90</v>
      </c>
      <c r="P5" s="260"/>
      <c r="Q5" s="260"/>
      <c r="R5" s="260"/>
      <c r="S5" s="260"/>
      <c r="T5" s="261"/>
      <c r="U5" s="255"/>
      <c r="V5" s="239"/>
      <c r="W5" s="255"/>
      <c r="X5" s="239"/>
      <c r="Y5" s="239"/>
      <c r="Z5" s="257"/>
      <c r="AC5" s="264" t="s">
        <v>94</v>
      </c>
      <c r="AD5" s="264"/>
      <c r="AE5" s="78"/>
      <c r="AF5" s="78"/>
      <c r="AG5" s="264" t="s">
        <v>14</v>
      </c>
      <c r="AH5" s="264"/>
      <c r="AI5" s="78"/>
      <c r="AJ5" s="264" t="s">
        <v>95</v>
      </c>
      <c r="AK5" s="264"/>
      <c r="AM5" s="264" t="s">
        <v>110</v>
      </c>
      <c r="AN5" s="264"/>
    </row>
    <row r="6" spans="1:40" s="76" customFormat="1" ht="21.95" customHeight="1" thickBot="1">
      <c r="A6" s="240"/>
      <c r="B6" s="241"/>
      <c r="C6" s="244"/>
      <c r="D6" s="245"/>
      <c r="E6" s="248"/>
      <c r="F6" s="249"/>
      <c r="G6" s="241"/>
      <c r="H6" s="241"/>
      <c r="I6" s="241"/>
      <c r="J6" s="241"/>
      <c r="K6" s="241"/>
      <c r="L6" s="241"/>
      <c r="M6" s="252"/>
      <c r="N6" s="253"/>
      <c r="O6" s="249" t="s">
        <v>11</v>
      </c>
      <c r="P6" s="267"/>
      <c r="Q6" s="268" t="s">
        <v>12</v>
      </c>
      <c r="R6" s="269"/>
      <c r="S6" s="249" t="s">
        <v>3</v>
      </c>
      <c r="T6" s="267"/>
      <c r="U6" s="241"/>
      <c r="V6" s="241"/>
      <c r="W6" s="241"/>
      <c r="X6" s="241"/>
      <c r="Y6" s="241"/>
      <c r="Z6" s="258"/>
      <c r="AC6" s="78" t="s">
        <v>4</v>
      </c>
      <c r="AD6" s="78" t="s">
        <v>18</v>
      </c>
      <c r="AE6" s="78"/>
      <c r="AF6" s="78"/>
      <c r="AG6" s="78" t="s">
        <v>4</v>
      </c>
      <c r="AH6" s="78" t="s">
        <v>18</v>
      </c>
      <c r="AI6" s="78"/>
      <c r="AJ6" s="78" t="s">
        <v>4</v>
      </c>
      <c r="AK6" s="78" t="s">
        <v>18</v>
      </c>
      <c r="AM6" s="76" t="s">
        <v>108</v>
      </c>
      <c r="AN6" s="76" t="s">
        <v>106</v>
      </c>
    </row>
    <row r="7" spans="1:40" s="76" customFormat="1" ht="21.95" customHeight="1">
      <c r="A7" s="277"/>
      <c r="B7" s="278"/>
      <c r="C7" s="279"/>
      <c r="D7" s="280"/>
      <c r="E7" s="280"/>
      <c r="F7" s="281"/>
      <c r="G7" s="282"/>
      <c r="H7" s="282"/>
      <c r="I7" s="282"/>
      <c r="J7" s="282"/>
      <c r="K7" s="283"/>
      <c r="L7" s="283"/>
      <c r="M7" s="265"/>
      <c r="N7" s="371"/>
      <c r="O7" s="271"/>
      <c r="P7" s="272"/>
      <c r="Q7" s="273"/>
      <c r="R7" s="274"/>
      <c r="S7" s="275"/>
      <c r="T7" s="271"/>
      <c r="U7" s="270" t="str">
        <f>IF(C7="","",AC7)</f>
        <v/>
      </c>
      <c r="V7" s="270"/>
      <c r="W7" s="270" t="str">
        <f>IF(C7="","",IF(ISERROR(AD7),#VALUE!,AD7))</f>
        <v/>
      </c>
      <c r="X7" s="270"/>
      <c r="Y7" s="270" t="str">
        <f>IF(C7="","",C7*E7*AM7)</f>
        <v/>
      </c>
      <c r="Z7" s="276"/>
      <c r="AC7" s="76" t="e">
        <f>C7*E7*I7*$U$3*AG7</f>
        <v>#VALUE!</v>
      </c>
      <c r="AD7" s="76" t="e">
        <f>C7*E7*I7*$W$3*AH7</f>
        <v>#VALUE!</v>
      </c>
      <c r="AF7" s="79" t="b">
        <v>0</v>
      </c>
      <c r="AG7" s="76" t="str">
        <f>IF(AF7=TRUE,"0.93",IF(ISERROR(AJ7),"エラー",IF(AJ7&gt;0.93,"0.93",AJ7)))</f>
        <v>エラー</v>
      </c>
      <c r="AH7" s="76" t="str">
        <f>IF(AF7=TRUE,"0.51",IF(ISERROR(AK7),"エラー",IF(AK7&gt;0.72,"0.72",AK7)))</f>
        <v>エラー</v>
      </c>
      <c r="AJ7" s="76" t="e">
        <f>IF(共通条件・結果!$Z$6="８（Ⅵ）",0.01*(16+19*(2*Q7+S7)/O7),0.01*(16+24*(2*Q7+S7)/O7))</f>
        <v>#DIV/0!</v>
      </c>
      <c r="AK7" s="76" t="e">
        <f>0.01*(5+20*(3*Q7+S7)/O7)</f>
        <v>#DIV/0!</v>
      </c>
      <c r="AM7" s="76">
        <f>IF(共通条件・結果!$Z$6="８地域",G7,IF(AN7="FALSE",G7,IF(K7="風除室",1/((1/G7)+0.1),0.5*G7+0.5*(1/((1/G7)+AN7)))))</f>
        <v>0</v>
      </c>
      <c r="AN7" s="78" t="str">
        <f t="shared" ref="AN7:AN16" si="0">IF(K7="","FALSE",IF(K7="雨戸",0.1,IF(K7="ｼｬｯﾀｰ",0.1,IF(K7="障子",0.18,IF(K7="風除室",0.1)))))</f>
        <v>FALSE</v>
      </c>
    </row>
    <row r="8" spans="1:40" s="76" customFormat="1" ht="21.95" customHeight="1">
      <c r="A8" s="207"/>
      <c r="B8" s="208"/>
      <c r="C8" s="209"/>
      <c r="D8" s="210"/>
      <c r="E8" s="210"/>
      <c r="F8" s="211"/>
      <c r="G8" s="212"/>
      <c r="H8" s="212"/>
      <c r="I8" s="212"/>
      <c r="J8" s="212"/>
      <c r="K8" s="213" t="s">
        <v>85</v>
      </c>
      <c r="L8" s="213"/>
      <c r="M8" s="220"/>
      <c r="N8" s="370"/>
      <c r="O8" s="284"/>
      <c r="P8" s="222"/>
      <c r="Q8" s="285"/>
      <c r="R8" s="286"/>
      <c r="S8" s="225"/>
      <c r="T8" s="284"/>
      <c r="U8" s="205" t="str">
        <f t="shared" ref="U8:U16" si="1">IF(C8="","",AC8)</f>
        <v/>
      </c>
      <c r="V8" s="205"/>
      <c r="W8" s="205" t="str">
        <f t="shared" ref="W8:W16" si="2">IF(C8="","",IF(ISERROR(AD8),#VALUE!,AD8))</f>
        <v/>
      </c>
      <c r="X8" s="205"/>
      <c r="Y8" s="205" t="str">
        <f t="shared" ref="Y8:Y16" si="3">IF(C8="","",C8*E8*AM8)</f>
        <v/>
      </c>
      <c r="Z8" s="206"/>
      <c r="AC8" s="76" t="e">
        <f t="shared" ref="AC8:AC16" si="4">C8*E8*I8*$U$3*AG8</f>
        <v>#VALUE!</v>
      </c>
      <c r="AD8" s="76" t="e">
        <f t="shared" ref="AD8:AD16" si="5">C8*E8*I8*$W$3*AH8</f>
        <v>#VALUE!</v>
      </c>
      <c r="AF8" s="79" t="b">
        <v>0</v>
      </c>
      <c r="AG8" s="76" t="str">
        <f t="shared" ref="AG8:AG16" si="6">IF(AF8=TRUE,"0.93",IF(ISERROR(AJ8),"エラー",IF(AJ8&gt;0.93,"0.93",AJ8)))</f>
        <v>エラー</v>
      </c>
      <c r="AH8" s="76" t="str">
        <f t="shared" ref="AH8:AH16" si="7">IF(AF8=TRUE,"0.51",IF(ISERROR(AK8),"エラー",IF(AK8&gt;0.72,"0.72",AK8)))</f>
        <v>エラー</v>
      </c>
      <c r="AJ8" s="76" t="e">
        <f>IF(共通条件・結果!$Z$6="８（Ⅵ）",0.01*(16+19*(2*Q8+S8)/O8),0.01*(16+24*(2*Q8+S8)/O8))</f>
        <v>#DIV/0!</v>
      </c>
      <c r="AK8" s="76" t="e">
        <f t="shared" ref="AK8:AK16" si="8">0.01*(5+20*(3*Q8+S8)/O8)</f>
        <v>#DIV/0!</v>
      </c>
      <c r="AM8" s="76" t="e">
        <f>IF(共通条件・結果!$Z$6="８地域",G8,IF(AN8="FALSE",G8,IF(K8="風除室",1/((1/G8)+0.1),0.5*G8+0.5*(1/((1/G8)+AN8)))))</f>
        <v>#DIV/0!</v>
      </c>
      <c r="AN8" s="78" t="b">
        <f t="shared" si="0"/>
        <v>0</v>
      </c>
    </row>
    <row r="9" spans="1:40" s="76" customFormat="1" ht="21.95" customHeight="1">
      <c r="A9" s="207"/>
      <c r="B9" s="208"/>
      <c r="C9" s="209"/>
      <c r="D9" s="210"/>
      <c r="E9" s="210"/>
      <c r="F9" s="211"/>
      <c r="G9" s="212"/>
      <c r="H9" s="212"/>
      <c r="I9" s="212"/>
      <c r="J9" s="212"/>
      <c r="K9" s="213" t="s">
        <v>85</v>
      </c>
      <c r="L9" s="213"/>
      <c r="M9" s="220"/>
      <c r="N9" s="370"/>
      <c r="O9" s="222"/>
      <c r="P9" s="223"/>
      <c r="Q9" s="224"/>
      <c r="R9" s="223"/>
      <c r="S9" s="224"/>
      <c r="T9" s="225"/>
      <c r="U9" s="205" t="str">
        <f t="shared" si="1"/>
        <v/>
      </c>
      <c r="V9" s="205"/>
      <c r="W9" s="205" t="str">
        <f t="shared" si="2"/>
        <v/>
      </c>
      <c r="X9" s="205"/>
      <c r="Y9" s="205" t="str">
        <f t="shared" si="3"/>
        <v/>
      </c>
      <c r="Z9" s="206"/>
      <c r="AC9" s="76" t="e">
        <f t="shared" si="4"/>
        <v>#VALUE!</v>
      </c>
      <c r="AD9" s="76" t="e">
        <f t="shared" si="5"/>
        <v>#VALUE!</v>
      </c>
      <c r="AF9" s="79" t="b">
        <v>0</v>
      </c>
      <c r="AG9" s="76" t="str">
        <f t="shared" si="6"/>
        <v>エラー</v>
      </c>
      <c r="AH9" s="76" t="str">
        <f t="shared" si="7"/>
        <v>エラー</v>
      </c>
      <c r="AJ9" s="76" t="e">
        <f>IF(共通条件・結果!$Z$6="８（Ⅵ）",0.01*(16+19*(2*Q9+S9)/O9),0.01*(16+24*(2*Q9+S9)/O9))</f>
        <v>#DIV/0!</v>
      </c>
      <c r="AK9" s="76" t="e">
        <f t="shared" si="8"/>
        <v>#DIV/0!</v>
      </c>
      <c r="AM9" s="76" t="e">
        <f>IF(共通条件・結果!$Z$6="８地域",G9,IF(AN9="FALSE",G9,IF(K9="風除室",1/((1/G9)+0.1),0.5*G9+0.5*(1/((1/G9)+AN9)))))</f>
        <v>#DIV/0!</v>
      </c>
      <c r="AN9" s="78" t="b">
        <f t="shared" si="0"/>
        <v>0</v>
      </c>
    </row>
    <row r="10" spans="1:40" s="76" customFormat="1" ht="21.95" customHeight="1">
      <c r="A10" s="207"/>
      <c r="B10" s="208"/>
      <c r="C10" s="209"/>
      <c r="D10" s="210"/>
      <c r="E10" s="210"/>
      <c r="F10" s="211"/>
      <c r="G10" s="212"/>
      <c r="H10" s="212"/>
      <c r="I10" s="212"/>
      <c r="J10" s="212"/>
      <c r="K10" s="213" t="s">
        <v>85</v>
      </c>
      <c r="L10" s="213"/>
      <c r="M10" s="220"/>
      <c r="N10" s="370"/>
      <c r="O10" s="222"/>
      <c r="P10" s="223"/>
      <c r="Q10" s="224"/>
      <c r="R10" s="223"/>
      <c r="S10" s="224"/>
      <c r="T10" s="225"/>
      <c r="U10" s="205" t="str">
        <f t="shared" si="1"/>
        <v/>
      </c>
      <c r="V10" s="205"/>
      <c r="W10" s="205" t="str">
        <f t="shared" si="2"/>
        <v/>
      </c>
      <c r="X10" s="205"/>
      <c r="Y10" s="205" t="str">
        <f t="shared" si="3"/>
        <v/>
      </c>
      <c r="Z10" s="206"/>
      <c r="AC10" s="76" t="e">
        <f t="shared" si="4"/>
        <v>#VALUE!</v>
      </c>
      <c r="AD10" s="76" t="e">
        <f t="shared" si="5"/>
        <v>#VALUE!</v>
      </c>
      <c r="AF10" s="79" t="b">
        <v>0</v>
      </c>
      <c r="AG10" s="76" t="str">
        <f t="shared" si="6"/>
        <v>エラー</v>
      </c>
      <c r="AH10" s="76" t="str">
        <f t="shared" si="7"/>
        <v>エラー</v>
      </c>
      <c r="AJ10" s="76" t="e">
        <f>IF(共通条件・結果!$Z$6="８（Ⅵ）",0.01*(16+19*(2*Q10+S10)/O10),0.01*(16+24*(2*Q10+S10)/O10))</f>
        <v>#DIV/0!</v>
      </c>
      <c r="AK10" s="76" t="e">
        <f t="shared" si="8"/>
        <v>#DIV/0!</v>
      </c>
      <c r="AM10" s="76" t="e">
        <f>IF(共通条件・結果!$Z$6="８地域",G10,IF(AN10="FALSE",G10,IF(K10="風除室",1/((1/G10)+0.1),0.5*G10+0.5*(1/((1/G10)+AN10)))))</f>
        <v>#DIV/0!</v>
      </c>
      <c r="AN10" s="78" t="b">
        <f t="shared" si="0"/>
        <v>0</v>
      </c>
    </row>
    <row r="11" spans="1:40" s="76" customFormat="1" ht="21.95" customHeight="1">
      <c r="A11" s="207"/>
      <c r="B11" s="208"/>
      <c r="C11" s="209"/>
      <c r="D11" s="210"/>
      <c r="E11" s="210"/>
      <c r="F11" s="211"/>
      <c r="G11" s="212"/>
      <c r="H11" s="212"/>
      <c r="I11" s="212"/>
      <c r="J11" s="212"/>
      <c r="K11" s="213" t="s">
        <v>85</v>
      </c>
      <c r="L11" s="213"/>
      <c r="M11" s="220"/>
      <c r="N11" s="370"/>
      <c r="O11" s="222"/>
      <c r="P11" s="223"/>
      <c r="Q11" s="224"/>
      <c r="R11" s="223"/>
      <c r="S11" s="224"/>
      <c r="T11" s="225"/>
      <c r="U11" s="205" t="str">
        <f t="shared" si="1"/>
        <v/>
      </c>
      <c r="V11" s="205"/>
      <c r="W11" s="205" t="str">
        <f t="shared" si="2"/>
        <v/>
      </c>
      <c r="X11" s="205"/>
      <c r="Y11" s="205" t="str">
        <f t="shared" si="3"/>
        <v/>
      </c>
      <c r="Z11" s="206"/>
      <c r="AC11" s="76" t="e">
        <f t="shared" si="4"/>
        <v>#VALUE!</v>
      </c>
      <c r="AD11" s="76" t="e">
        <f t="shared" si="5"/>
        <v>#VALUE!</v>
      </c>
      <c r="AF11" s="79" t="b">
        <v>0</v>
      </c>
      <c r="AG11" s="76" t="str">
        <f t="shared" si="6"/>
        <v>エラー</v>
      </c>
      <c r="AH11" s="76" t="str">
        <f t="shared" si="7"/>
        <v>エラー</v>
      </c>
      <c r="AJ11" s="76" t="e">
        <f>IF(共通条件・結果!$Z$6="８（Ⅵ）",0.01*(16+19*(2*Q11+S11)/O11),0.01*(16+24*(2*Q11+S11)/O11))</f>
        <v>#DIV/0!</v>
      </c>
      <c r="AK11" s="76" t="e">
        <f t="shared" si="8"/>
        <v>#DIV/0!</v>
      </c>
      <c r="AM11" s="76" t="e">
        <f>IF(共通条件・結果!$Z$6="８地域",G11,IF(AN11="FALSE",G11,IF(K11="風除室",1/((1/G11)+0.1),0.5*G11+0.5*(1/((1/G11)+AN11)))))</f>
        <v>#DIV/0!</v>
      </c>
      <c r="AN11" s="78" t="b">
        <f t="shared" si="0"/>
        <v>0</v>
      </c>
    </row>
    <row r="12" spans="1:40" s="76" customFormat="1" ht="21.95" customHeight="1">
      <c r="A12" s="207"/>
      <c r="B12" s="208"/>
      <c r="C12" s="209"/>
      <c r="D12" s="210"/>
      <c r="E12" s="210"/>
      <c r="F12" s="211"/>
      <c r="G12" s="212"/>
      <c r="H12" s="212"/>
      <c r="I12" s="212"/>
      <c r="J12" s="212"/>
      <c r="K12" s="213" t="s">
        <v>85</v>
      </c>
      <c r="L12" s="213"/>
      <c r="M12" s="220"/>
      <c r="N12" s="370"/>
      <c r="O12" s="222"/>
      <c r="P12" s="223"/>
      <c r="Q12" s="224"/>
      <c r="R12" s="223"/>
      <c r="S12" s="224"/>
      <c r="T12" s="225"/>
      <c r="U12" s="226" t="str">
        <f t="shared" si="1"/>
        <v/>
      </c>
      <c r="V12" s="227"/>
      <c r="W12" s="205" t="str">
        <f t="shared" si="2"/>
        <v/>
      </c>
      <c r="X12" s="205"/>
      <c r="Y12" s="205" t="str">
        <f t="shared" si="3"/>
        <v/>
      </c>
      <c r="Z12" s="206"/>
      <c r="AC12" s="76" t="e">
        <f t="shared" si="4"/>
        <v>#VALUE!</v>
      </c>
      <c r="AD12" s="76" t="e">
        <f t="shared" si="5"/>
        <v>#VALUE!</v>
      </c>
      <c r="AF12" s="79" t="b">
        <v>0</v>
      </c>
      <c r="AG12" s="76" t="str">
        <f t="shared" si="6"/>
        <v>エラー</v>
      </c>
      <c r="AH12" s="76" t="str">
        <f t="shared" si="7"/>
        <v>エラー</v>
      </c>
      <c r="AJ12" s="76" t="e">
        <f>IF(共通条件・結果!$Z$6="８（Ⅵ）",0.01*(16+19*(2*Q12+S12)/O12),0.01*(16+24*(2*Q12+S12)/O12))</f>
        <v>#DIV/0!</v>
      </c>
      <c r="AK12" s="76" t="e">
        <f t="shared" si="8"/>
        <v>#DIV/0!</v>
      </c>
      <c r="AM12" s="76" t="e">
        <f>IF(共通条件・結果!$Z$6="８地域",G12,IF(AN12="FALSE",G12,IF(K12="風除室",1/((1/G12)+0.1),0.5*G12+0.5*(1/((1/G12)+AN12)))))</f>
        <v>#DIV/0!</v>
      </c>
      <c r="AN12" s="78" t="b">
        <f t="shared" si="0"/>
        <v>0</v>
      </c>
    </row>
    <row r="13" spans="1:40" s="76" customFormat="1" ht="21.95" customHeight="1">
      <c r="A13" s="207"/>
      <c r="B13" s="208"/>
      <c r="C13" s="209"/>
      <c r="D13" s="210"/>
      <c r="E13" s="210"/>
      <c r="F13" s="211"/>
      <c r="G13" s="212"/>
      <c r="H13" s="212"/>
      <c r="I13" s="212"/>
      <c r="J13" s="212"/>
      <c r="K13" s="213" t="s">
        <v>85</v>
      </c>
      <c r="L13" s="213"/>
      <c r="M13" s="220"/>
      <c r="N13" s="370"/>
      <c r="O13" s="222"/>
      <c r="P13" s="223"/>
      <c r="Q13" s="224"/>
      <c r="R13" s="223"/>
      <c r="S13" s="224"/>
      <c r="T13" s="225"/>
      <c r="U13" s="226" t="str">
        <f t="shared" si="1"/>
        <v/>
      </c>
      <c r="V13" s="227"/>
      <c r="W13" s="205" t="str">
        <f t="shared" si="2"/>
        <v/>
      </c>
      <c r="X13" s="205"/>
      <c r="Y13" s="205" t="str">
        <f t="shared" si="3"/>
        <v/>
      </c>
      <c r="Z13" s="206"/>
      <c r="AC13" s="76" t="e">
        <f t="shared" si="4"/>
        <v>#VALUE!</v>
      </c>
      <c r="AD13" s="76" t="e">
        <f t="shared" si="5"/>
        <v>#VALUE!</v>
      </c>
      <c r="AF13" s="79" t="b">
        <v>0</v>
      </c>
      <c r="AG13" s="76" t="str">
        <f t="shared" si="6"/>
        <v>エラー</v>
      </c>
      <c r="AH13" s="76" t="str">
        <f t="shared" si="7"/>
        <v>エラー</v>
      </c>
      <c r="AJ13" s="76" t="e">
        <f>IF(共通条件・結果!$Z$6="８（Ⅵ）",0.01*(16+19*(2*Q13+S13)/O13),0.01*(16+24*(2*Q13+S13)/O13))</f>
        <v>#DIV/0!</v>
      </c>
      <c r="AK13" s="76" t="e">
        <f t="shared" si="8"/>
        <v>#DIV/0!</v>
      </c>
      <c r="AM13" s="76" t="e">
        <f>IF(共通条件・結果!$Z$6="８地域",G13,IF(AN13="FALSE",G13,IF(K13="風除室",1/((1/G13)+0.1),0.5*G13+0.5*(1/((1/G13)+AN13)))))</f>
        <v>#DIV/0!</v>
      </c>
      <c r="AN13" s="78" t="b">
        <f t="shared" si="0"/>
        <v>0</v>
      </c>
    </row>
    <row r="14" spans="1:40" s="76" customFormat="1" ht="21.95" customHeight="1">
      <c r="A14" s="207"/>
      <c r="B14" s="208"/>
      <c r="C14" s="209"/>
      <c r="D14" s="210"/>
      <c r="E14" s="210"/>
      <c r="F14" s="211"/>
      <c r="G14" s="212"/>
      <c r="H14" s="212"/>
      <c r="I14" s="212"/>
      <c r="J14" s="212"/>
      <c r="K14" s="213" t="s">
        <v>85</v>
      </c>
      <c r="L14" s="213"/>
      <c r="M14" s="220"/>
      <c r="N14" s="370"/>
      <c r="O14" s="284"/>
      <c r="P14" s="222"/>
      <c r="Q14" s="224"/>
      <c r="R14" s="223"/>
      <c r="S14" s="224"/>
      <c r="T14" s="225"/>
      <c r="U14" s="226" t="str">
        <f t="shared" si="1"/>
        <v/>
      </c>
      <c r="V14" s="227"/>
      <c r="W14" s="205" t="str">
        <f t="shared" si="2"/>
        <v/>
      </c>
      <c r="X14" s="205"/>
      <c r="Y14" s="205" t="str">
        <f t="shared" si="3"/>
        <v/>
      </c>
      <c r="Z14" s="206"/>
      <c r="AC14" s="76" t="e">
        <f t="shared" si="4"/>
        <v>#VALUE!</v>
      </c>
      <c r="AD14" s="76" t="e">
        <f t="shared" si="5"/>
        <v>#VALUE!</v>
      </c>
      <c r="AF14" s="79" t="b">
        <v>0</v>
      </c>
      <c r="AG14" s="76" t="str">
        <f t="shared" si="6"/>
        <v>エラー</v>
      </c>
      <c r="AH14" s="76" t="str">
        <f t="shared" si="7"/>
        <v>エラー</v>
      </c>
      <c r="AJ14" s="76" t="e">
        <f>IF(共通条件・結果!$Z$6="８（Ⅵ）",0.01*(16+19*(2*Q14+S14)/O14),0.01*(16+24*(2*Q14+S14)/O14))</f>
        <v>#DIV/0!</v>
      </c>
      <c r="AK14" s="76" t="e">
        <f t="shared" si="8"/>
        <v>#DIV/0!</v>
      </c>
      <c r="AM14" s="76" t="e">
        <f>IF(共通条件・結果!$Z$6="８地域",G14,IF(AN14="FALSE",G14,IF(K14="風除室",1/((1/G14)+0.1),0.5*G14+0.5*(1/((1/G14)+AN14)))))</f>
        <v>#DIV/0!</v>
      </c>
      <c r="AN14" s="78" t="b">
        <f t="shared" si="0"/>
        <v>0</v>
      </c>
    </row>
    <row r="15" spans="1:40" s="76" customFormat="1" ht="21.95" customHeight="1">
      <c r="A15" s="207"/>
      <c r="B15" s="208"/>
      <c r="C15" s="209"/>
      <c r="D15" s="210"/>
      <c r="E15" s="210"/>
      <c r="F15" s="211"/>
      <c r="G15" s="212"/>
      <c r="H15" s="212"/>
      <c r="I15" s="212"/>
      <c r="J15" s="212"/>
      <c r="K15" s="213" t="s">
        <v>85</v>
      </c>
      <c r="L15" s="213"/>
      <c r="M15" s="220"/>
      <c r="N15" s="370"/>
      <c r="O15" s="284"/>
      <c r="P15" s="222"/>
      <c r="Q15" s="285"/>
      <c r="R15" s="286"/>
      <c r="S15" s="225"/>
      <c r="T15" s="284"/>
      <c r="U15" s="226" t="str">
        <f t="shared" si="1"/>
        <v/>
      </c>
      <c r="V15" s="227"/>
      <c r="W15" s="205" t="str">
        <f t="shared" si="2"/>
        <v/>
      </c>
      <c r="X15" s="205"/>
      <c r="Y15" s="205" t="str">
        <f t="shared" si="3"/>
        <v/>
      </c>
      <c r="Z15" s="206"/>
      <c r="AC15" s="76" t="e">
        <f t="shared" si="4"/>
        <v>#VALUE!</v>
      </c>
      <c r="AD15" s="76" t="e">
        <f t="shared" si="5"/>
        <v>#VALUE!</v>
      </c>
      <c r="AF15" s="79" t="b">
        <v>0</v>
      </c>
      <c r="AG15" s="76" t="str">
        <f t="shared" si="6"/>
        <v>エラー</v>
      </c>
      <c r="AH15" s="76" t="str">
        <f t="shared" si="7"/>
        <v>エラー</v>
      </c>
      <c r="AJ15" s="76" t="e">
        <f>IF(共通条件・結果!$Z$6="８（Ⅵ）",0.01*(16+19*(2*Q15+S15)/O15),0.01*(16+24*(2*Q15+S15)/O15))</f>
        <v>#DIV/0!</v>
      </c>
      <c r="AK15" s="76" t="e">
        <f t="shared" si="8"/>
        <v>#DIV/0!</v>
      </c>
      <c r="AM15" s="76" t="e">
        <f>IF(共通条件・結果!$Z$6="８地域",G15,IF(AN15="FALSE",G15,IF(K15="風除室",1/((1/G15)+0.1),0.5*G15+0.5*(1/((1/G15)+AN15)))))</f>
        <v>#DIV/0!</v>
      </c>
      <c r="AN15" s="78" t="b">
        <f t="shared" si="0"/>
        <v>0</v>
      </c>
    </row>
    <row r="16" spans="1:40" s="76" customFormat="1" ht="21.95" customHeight="1" thickBot="1">
      <c r="A16" s="306"/>
      <c r="B16" s="307"/>
      <c r="C16" s="308"/>
      <c r="D16" s="295"/>
      <c r="E16" s="295"/>
      <c r="F16" s="296"/>
      <c r="G16" s="294"/>
      <c r="H16" s="294"/>
      <c r="I16" s="294"/>
      <c r="J16" s="294"/>
      <c r="K16" s="283" t="s">
        <v>85</v>
      </c>
      <c r="L16" s="283"/>
      <c r="M16" s="287"/>
      <c r="N16" s="369"/>
      <c r="O16" s="289"/>
      <c r="P16" s="290"/>
      <c r="Q16" s="291"/>
      <c r="R16" s="292"/>
      <c r="S16" s="293"/>
      <c r="T16" s="289"/>
      <c r="U16" s="226" t="str">
        <f t="shared" si="1"/>
        <v/>
      </c>
      <c r="V16" s="227"/>
      <c r="W16" s="205" t="str">
        <f t="shared" si="2"/>
        <v/>
      </c>
      <c r="X16" s="205"/>
      <c r="Y16" s="300" t="str">
        <f t="shared" si="3"/>
        <v/>
      </c>
      <c r="Z16" s="301"/>
      <c r="AC16" s="76" t="e">
        <f t="shared" si="4"/>
        <v>#VALUE!</v>
      </c>
      <c r="AD16" s="76" t="e">
        <f t="shared" si="5"/>
        <v>#VALUE!</v>
      </c>
      <c r="AF16" s="79" t="b">
        <v>0</v>
      </c>
      <c r="AG16" s="76" t="str">
        <f t="shared" si="6"/>
        <v>エラー</v>
      </c>
      <c r="AH16" s="76" t="str">
        <f t="shared" si="7"/>
        <v>エラー</v>
      </c>
      <c r="AJ16" s="76" t="e">
        <f>IF(共通条件・結果!$Z$6="８（Ⅵ）",0.01*(16+19*(2*Q16+S16)/O16),0.01*(16+24*(2*Q16+S16)/O16))</f>
        <v>#DIV/0!</v>
      </c>
      <c r="AK16" s="76" t="e">
        <f t="shared" si="8"/>
        <v>#DIV/0!</v>
      </c>
      <c r="AM16" s="76" t="e">
        <f>IF(共通条件・結果!$Z$6="８地域",G16,IF(AN16="FALSE",G16,IF(K16="風除室",1/((1/G16)+0.1),0.5*G16+0.5*(1/((1/G16)+AN16)))))</f>
        <v>#DIV/0!</v>
      </c>
      <c r="AN16" s="78" t="b">
        <f t="shared" si="0"/>
        <v>0</v>
      </c>
    </row>
    <row r="17" spans="1:40" s="76" customFormat="1" ht="21.95" customHeight="1" thickBot="1">
      <c r="A17" s="302" t="s">
        <v>153</v>
      </c>
      <c r="B17" s="303"/>
      <c r="C17" s="303"/>
      <c r="D17" s="303"/>
      <c r="E17" s="303"/>
      <c r="F17" s="303"/>
      <c r="G17" s="303"/>
      <c r="H17" s="303"/>
      <c r="I17" s="303"/>
      <c r="J17" s="303"/>
      <c r="K17" s="303"/>
      <c r="L17" s="303"/>
      <c r="M17" s="303"/>
      <c r="N17" s="303"/>
      <c r="O17" s="303"/>
      <c r="P17" s="303"/>
      <c r="Q17" s="303"/>
      <c r="R17" s="303"/>
      <c r="S17" s="303"/>
      <c r="T17" s="303"/>
      <c r="U17" s="304">
        <f>SUM(U7:V16)</f>
        <v>0</v>
      </c>
      <c r="V17" s="304"/>
      <c r="W17" s="304">
        <f>SUM(W7:X16)</f>
        <v>0</v>
      </c>
      <c r="X17" s="304"/>
      <c r="Y17" s="304">
        <f>SUM(Y7:Z16)</f>
        <v>0</v>
      </c>
      <c r="Z17" s="305"/>
    </row>
    <row r="18" spans="1:40" s="76" customFormat="1" ht="9.9499999999999993" customHeight="1">
      <c r="AM18" s="264"/>
      <c r="AN18" s="264"/>
    </row>
    <row r="19" spans="1:40" s="76" customFormat="1" ht="21.95" customHeight="1" thickBot="1">
      <c r="I19" s="77" t="s">
        <v>15</v>
      </c>
      <c r="J19" s="77"/>
      <c r="K19" s="77"/>
    </row>
    <row r="20" spans="1:40" s="76" customFormat="1" ht="21.95" customHeight="1">
      <c r="I20" s="352" t="s">
        <v>16</v>
      </c>
      <c r="J20" s="356"/>
      <c r="K20" s="356"/>
      <c r="L20" s="353"/>
      <c r="M20" s="237" t="s">
        <v>113</v>
      </c>
      <c r="N20" s="237"/>
      <c r="O20" s="237"/>
      <c r="P20" s="237"/>
      <c r="Q20" s="237" t="s">
        <v>7</v>
      </c>
      <c r="R20" s="237"/>
      <c r="S20" s="366" t="s">
        <v>10</v>
      </c>
      <c r="T20" s="367"/>
      <c r="U20" s="254" t="s">
        <v>88</v>
      </c>
      <c r="V20" s="237"/>
      <c r="W20" s="254" t="s">
        <v>87</v>
      </c>
      <c r="X20" s="237"/>
      <c r="Y20" s="237" t="s">
        <v>13</v>
      </c>
      <c r="Z20" s="256"/>
      <c r="AM20" s="264" t="s">
        <v>110</v>
      </c>
      <c r="AN20" s="264"/>
    </row>
    <row r="21" spans="1:40" s="76" customFormat="1" ht="21.95" customHeight="1" thickBot="1">
      <c r="I21" s="354"/>
      <c r="J21" s="248"/>
      <c r="K21" s="248"/>
      <c r="L21" s="249"/>
      <c r="M21" s="297" t="s">
        <v>9</v>
      </c>
      <c r="N21" s="298"/>
      <c r="O21" s="299" t="s">
        <v>8</v>
      </c>
      <c r="P21" s="241"/>
      <c r="Q21" s="241"/>
      <c r="R21" s="241"/>
      <c r="S21" s="368"/>
      <c r="T21" s="368"/>
      <c r="U21" s="241"/>
      <c r="V21" s="241"/>
      <c r="W21" s="241"/>
      <c r="X21" s="241"/>
      <c r="Y21" s="241"/>
      <c r="Z21" s="258"/>
      <c r="AM21" s="76" t="s">
        <v>108</v>
      </c>
      <c r="AN21" s="76" t="s">
        <v>106</v>
      </c>
    </row>
    <row r="22" spans="1:40" s="76" customFormat="1" ht="21.95" customHeight="1">
      <c r="B22" s="80"/>
      <c r="C22" s="80"/>
      <c r="D22" s="80"/>
      <c r="E22" s="80"/>
      <c r="F22" s="80"/>
      <c r="G22" s="80"/>
      <c r="H22" s="80"/>
      <c r="I22" s="218"/>
      <c r="J22" s="357"/>
      <c r="K22" s="357"/>
      <c r="L22" s="219"/>
      <c r="M22" s="279"/>
      <c r="N22" s="280"/>
      <c r="O22" s="280"/>
      <c r="P22" s="281"/>
      <c r="Q22" s="338"/>
      <c r="R22" s="338"/>
      <c r="S22" s="283"/>
      <c r="T22" s="283"/>
      <c r="U22" s="300" t="str">
        <f>IF(M22="","",M22*O22*Q22*0.034*$U$3)</f>
        <v/>
      </c>
      <c r="V22" s="300"/>
      <c r="W22" s="300" t="str">
        <f>IF(M22="","",IF(ISERROR(M22*O22*Q22*0.034*$W$3),"-",M22*O22*Q22*0.034*$W$3))</f>
        <v/>
      </c>
      <c r="X22" s="300"/>
      <c r="Y22" s="300" t="str">
        <f>IF(M22="","",M22*O22*AM22)</f>
        <v/>
      </c>
      <c r="Z22" s="301"/>
      <c r="AM22" s="76">
        <f>IF(共通条件・結果!$Z$6="８地域",Q22,IF(AN22="FALSE",Q22,IF(S22="風除室",1/((1/Q22)+0.1),0.5*Q22+0.5*(1/((1/Q22)+AN22)))))</f>
        <v>0</v>
      </c>
      <c r="AN22" s="78" t="str">
        <f>IF(S22="","FALSE",IF(S22="雨戸",0.1,IF(S22="ｼｬｯﾀｰ",0.1,IF(S22="障子",0.18,IF(S22="風除室",0.1)))))</f>
        <v>FALSE</v>
      </c>
    </row>
    <row r="23" spans="1:40" s="76" customFormat="1" ht="21.95" customHeight="1" thickBot="1">
      <c r="B23" s="80"/>
      <c r="C23" s="80"/>
      <c r="D23" s="80"/>
      <c r="E23" s="80"/>
      <c r="F23" s="80"/>
      <c r="G23" s="80"/>
      <c r="H23" s="80"/>
      <c r="I23" s="214"/>
      <c r="J23" s="358"/>
      <c r="K23" s="358"/>
      <c r="L23" s="215"/>
      <c r="M23" s="308"/>
      <c r="N23" s="295"/>
      <c r="O23" s="295"/>
      <c r="P23" s="296"/>
      <c r="Q23" s="294"/>
      <c r="R23" s="294"/>
      <c r="S23" s="213" t="s">
        <v>85</v>
      </c>
      <c r="T23" s="213"/>
      <c r="U23" s="350" t="str">
        <f>IF(M23="","",M23*O23*Q23*0.034*$U$3)</f>
        <v/>
      </c>
      <c r="V23" s="350"/>
      <c r="W23" s="350" t="str">
        <f>IF(M23="","",IF(ISERROR(M23*O23*Q23*0.034*$W$3),"-",M23*O23*Q23*0.034*$W$3))</f>
        <v/>
      </c>
      <c r="X23" s="350"/>
      <c r="Y23" s="350" t="str">
        <f>IF(M23="","",M23*O23*AM23)</f>
        <v/>
      </c>
      <c r="Z23" s="351"/>
      <c r="AM23" s="76" t="e">
        <f>IF(共通条件・結果!$Z$6="８地域",Q23,IF(AN23="FALSE",Q23,IF(S23="風除室",1/((1/Q23)+0.1),0.5*Q23+0.5*(1/((1/Q23)+AN23)))))</f>
        <v>#DIV/0!</v>
      </c>
      <c r="AN23" s="78" t="b">
        <f>IF(S23="","FALSE",IF(S23="雨戸",0.1,IF(S23="ｼｬｯﾀｰ",0.1,IF(S23="障子",0.18,IF(S23="風除室",0.1)))))</f>
        <v>0</v>
      </c>
    </row>
    <row r="24" spans="1:40" s="76" customFormat="1" ht="21.95" customHeight="1" thickBot="1">
      <c r="B24" s="80"/>
      <c r="C24" s="80"/>
      <c r="D24" s="80"/>
      <c r="E24" s="80"/>
      <c r="F24" s="80"/>
      <c r="G24" s="80"/>
      <c r="H24" s="80"/>
      <c r="I24" s="302" t="s">
        <v>175</v>
      </c>
      <c r="J24" s="303"/>
      <c r="K24" s="303"/>
      <c r="L24" s="303"/>
      <c r="M24" s="303"/>
      <c r="N24" s="303"/>
      <c r="O24" s="303"/>
      <c r="P24" s="303"/>
      <c r="Q24" s="303"/>
      <c r="R24" s="303"/>
      <c r="S24" s="303"/>
      <c r="T24" s="355"/>
      <c r="U24" s="304">
        <f>SUM(U22:V23)</f>
        <v>0</v>
      </c>
      <c r="V24" s="304"/>
      <c r="W24" s="304">
        <f>SUM(W22:X23)</f>
        <v>0</v>
      </c>
      <c r="X24" s="304"/>
      <c r="Y24" s="304">
        <f>SUM(Y22:Z23)</f>
        <v>0</v>
      </c>
      <c r="Z24" s="305"/>
      <c r="AN24" s="78"/>
    </row>
    <row r="25" spans="1:40" s="76" customFormat="1" ht="9.9499999999999993" customHeight="1">
      <c r="B25" s="80"/>
      <c r="C25" s="80"/>
      <c r="D25" s="80"/>
      <c r="E25" s="80"/>
      <c r="F25" s="80"/>
      <c r="G25" s="80"/>
      <c r="H25" s="80"/>
      <c r="I25" s="80"/>
      <c r="AN25" s="78"/>
    </row>
    <row r="26" spans="1:40" s="76" customFormat="1" ht="21.95" customHeight="1" thickBot="1">
      <c r="B26" s="80"/>
      <c r="C26" s="80"/>
      <c r="D26" s="80"/>
      <c r="E26" s="80"/>
      <c r="F26" s="80"/>
      <c r="G26" s="80"/>
      <c r="H26" s="80"/>
      <c r="I26" s="77" t="s">
        <v>17</v>
      </c>
      <c r="J26" s="77"/>
      <c r="K26" s="77"/>
      <c r="AN26" s="78"/>
    </row>
    <row r="27" spans="1:40" s="76" customFormat="1" ht="21.95" customHeight="1">
      <c r="B27" s="80"/>
      <c r="C27" s="80"/>
      <c r="D27" s="80"/>
      <c r="E27" s="80"/>
      <c r="F27" s="80"/>
      <c r="G27" s="80"/>
      <c r="H27" s="80"/>
      <c r="I27" s="352" t="s">
        <v>0</v>
      </c>
      <c r="J27" s="353"/>
      <c r="K27" s="363" t="s">
        <v>62</v>
      </c>
      <c r="L27" s="364"/>
      <c r="M27" s="363" t="s">
        <v>200</v>
      </c>
      <c r="N27" s="364"/>
      <c r="O27" s="339" t="s">
        <v>63</v>
      </c>
      <c r="P27" s="340"/>
      <c r="Q27" s="237" t="s">
        <v>7</v>
      </c>
      <c r="R27" s="237"/>
      <c r="S27" s="359" t="s">
        <v>180</v>
      </c>
      <c r="T27" s="360"/>
      <c r="U27" s="254" t="s">
        <v>88</v>
      </c>
      <c r="V27" s="237"/>
      <c r="W27" s="254" t="s">
        <v>87</v>
      </c>
      <c r="X27" s="237"/>
      <c r="Y27" s="237" t="s">
        <v>13</v>
      </c>
      <c r="Z27" s="256"/>
      <c r="AN27" s="78"/>
    </row>
    <row r="28" spans="1:40" s="76" customFormat="1" ht="21.95" customHeight="1" thickBot="1">
      <c r="B28" s="80"/>
      <c r="C28" s="80"/>
      <c r="D28" s="80"/>
      <c r="E28" s="80"/>
      <c r="F28" s="80"/>
      <c r="G28" s="80"/>
      <c r="H28" s="80"/>
      <c r="I28" s="354"/>
      <c r="J28" s="249"/>
      <c r="K28" s="252"/>
      <c r="L28" s="365"/>
      <c r="M28" s="252"/>
      <c r="N28" s="365"/>
      <c r="O28" s="341"/>
      <c r="P28" s="342"/>
      <c r="Q28" s="241"/>
      <c r="R28" s="241"/>
      <c r="S28" s="361"/>
      <c r="T28" s="362"/>
      <c r="U28" s="241"/>
      <c r="V28" s="241"/>
      <c r="W28" s="241"/>
      <c r="X28" s="241"/>
      <c r="Y28" s="241"/>
      <c r="Z28" s="258"/>
      <c r="AD28" s="76" t="s">
        <v>170</v>
      </c>
      <c r="AE28" s="76" t="s">
        <v>171</v>
      </c>
    </row>
    <row r="29" spans="1:40" s="76" customFormat="1" ht="21.95" customHeight="1">
      <c r="B29" s="80"/>
      <c r="C29" s="80"/>
      <c r="D29" s="80"/>
      <c r="E29" s="80"/>
      <c r="F29" s="80"/>
      <c r="G29" s="80"/>
      <c r="H29" s="80"/>
      <c r="I29" s="218"/>
      <c r="J29" s="219"/>
      <c r="K29" s="334"/>
      <c r="L29" s="335"/>
      <c r="M29" s="334"/>
      <c r="N29" s="335"/>
      <c r="O29" s="336" t="str">
        <f>IF(K29="","",K29-M29)</f>
        <v/>
      </c>
      <c r="P29" s="337"/>
      <c r="Q29" s="338"/>
      <c r="R29" s="338"/>
      <c r="S29" s="338"/>
      <c r="T29" s="338"/>
      <c r="U29" s="205" t="str">
        <f>IF(O29="","",IF(AC29=TRUE,0,O29*Q29*0.034*$U$3))</f>
        <v/>
      </c>
      <c r="V29" s="205"/>
      <c r="W29" s="226" t="str">
        <f>IF(O29="","",IF(ISERROR(O29*Q29*0.034*$W$3),"-",IF(AC29=TRUE,0,O29*Q29*0.034*$W$3)))</f>
        <v/>
      </c>
      <c r="X29" s="227"/>
      <c r="Y29" s="270" t="str">
        <f>IF(Q29="","",IF(AC29=TRUE,0.7*Q29*O29,Q29*O29))</f>
        <v/>
      </c>
      <c r="Z29" s="276"/>
      <c r="AC29" s="79" t="b">
        <v>0</v>
      </c>
      <c r="AD29" s="79">
        <f>IF(AC29=TRUE,0.7,1)</f>
        <v>1</v>
      </c>
      <c r="AE29" s="79" t="str">
        <f>IF(AC29=TRUE,0,"セル")</f>
        <v>セル</v>
      </c>
    </row>
    <row r="30" spans="1:40" s="76" customFormat="1" ht="21.95" customHeight="1">
      <c r="B30" s="80"/>
      <c r="C30" s="80"/>
      <c r="D30" s="80"/>
      <c r="E30" s="80"/>
      <c r="F30" s="80"/>
      <c r="G30" s="80"/>
      <c r="H30" s="80"/>
      <c r="I30" s="216"/>
      <c r="J30" s="217"/>
      <c r="K30" s="332"/>
      <c r="L30" s="333"/>
      <c r="M30" s="332"/>
      <c r="N30" s="333"/>
      <c r="O30" s="330" t="str">
        <f>IF(K30="","",K30-M30)</f>
        <v/>
      </c>
      <c r="P30" s="331"/>
      <c r="Q30" s="212"/>
      <c r="R30" s="212"/>
      <c r="S30" s="212"/>
      <c r="T30" s="212"/>
      <c r="U30" s="205" t="str">
        <f>IF(O30="","",IF(AC30=TRUE,0,O30*Q30*0.034*$U$3))</f>
        <v/>
      </c>
      <c r="V30" s="205"/>
      <c r="W30" s="226" t="str">
        <f>IF(O30="","",IF(ISERROR(O30*Q30*0.034*$W$3),"-",IF(AC30=TRUE,0,O30*Q30*0.034*$W$3)))</f>
        <v/>
      </c>
      <c r="X30" s="227"/>
      <c r="Y30" s="205" t="str">
        <f>IF(Q30="","",IF(AC30=TRUE,0.7*Q30*O30,Q30*O30))</f>
        <v/>
      </c>
      <c r="Z30" s="206"/>
      <c r="AC30" s="79" t="b">
        <v>0</v>
      </c>
      <c r="AD30" s="79">
        <f>IF(AC30=TRUE,0.7,1)</f>
        <v>1</v>
      </c>
      <c r="AE30" s="79" t="str">
        <f>IF(AC30=TRUE,0,"セル")</f>
        <v>セル</v>
      </c>
    </row>
    <row r="31" spans="1:40" s="76" customFormat="1" ht="21.95" customHeight="1" thickBot="1">
      <c r="I31" s="214"/>
      <c r="J31" s="215"/>
      <c r="K31" s="345"/>
      <c r="L31" s="346"/>
      <c r="M31" s="345"/>
      <c r="N31" s="346"/>
      <c r="O31" s="347" t="str">
        <f>IF(K31="","",K31-M31)</f>
        <v/>
      </c>
      <c r="P31" s="348"/>
      <c r="Q31" s="349"/>
      <c r="R31" s="349"/>
      <c r="S31" s="349"/>
      <c r="T31" s="349"/>
      <c r="U31" s="300" t="str">
        <f>IF(O31="","",IF(AC31=TRUE,0,O31*Q31*0.034*$U$3))</f>
        <v/>
      </c>
      <c r="V31" s="300"/>
      <c r="W31" s="343" t="str">
        <f>IF(O31="","",IF(ISERROR(O31*Q31*0.034*$W$3),"-",IF(AC31=TRUE,0,O31*Q31*0.034*$W$3)))</f>
        <v/>
      </c>
      <c r="X31" s="344"/>
      <c r="Y31" s="300" t="str">
        <f>IF(Q31="","",IF(AC31=TRUE,0.7*Q31*O31,Q31*O31))</f>
        <v/>
      </c>
      <c r="Z31" s="301"/>
      <c r="AC31" s="79" t="b">
        <v>0</v>
      </c>
      <c r="AD31" s="79">
        <f>IF(AC31=TRUE,0.7,1)</f>
        <v>1</v>
      </c>
      <c r="AE31" s="79" t="str">
        <f>IF(AC31=TRUE,0,"セル")</f>
        <v>セル</v>
      </c>
    </row>
    <row r="32" spans="1:40" s="76" customFormat="1" ht="21.95" customHeight="1" thickBot="1">
      <c r="I32" s="302" t="s">
        <v>154</v>
      </c>
      <c r="J32" s="303"/>
      <c r="K32" s="303"/>
      <c r="L32" s="303"/>
      <c r="M32" s="303"/>
      <c r="N32" s="303"/>
      <c r="O32" s="303"/>
      <c r="P32" s="303"/>
      <c r="Q32" s="303"/>
      <c r="R32" s="303"/>
      <c r="S32" s="303"/>
      <c r="T32" s="355"/>
      <c r="U32" s="304">
        <f>SUM(U29:V31)</f>
        <v>0</v>
      </c>
      <c r="V32" s="304"/>
      <c r="W32" s="304">
        <f>SUM(W29:X31)</f>
        <v>0</v>
      </c>
      <c r="X32" s="304"/>
      <c r="Y32" s="304">
        <f>SUM(Y29:Z31)</f>
        <v>0</v>
      </c>
      <c r="Z32" s="305"/>
    </row>
    <row r="33" spans="1:26" s="76" customFormat="1" ht="9.9499999999999993" customHeight="1"/>
    <row r="34" spans="1:26" s="76" customFormat="1" ht="21.95" customHeight="1" thickBot="1">
      <c r="A34" s="77" t="s">
        <v>155</v>
      </c>
    </row>
    <row r="35" spans="1:26" s="76" customFormat="1" ht="21.95" customHeight="1">
      <c r="A35" s="309" t="s">
        <v>132</v>
      </c>
      <c r="B35" s="310"/>
      <c r="C35" s="323" t="s">
        <v>65</v>
      </c>
      <c r="D35" s="324"/>
      <c r="E35" s="324"/>
      <c r="F35" s="324"/>
      <c r="G35" s="324"/>
      <c r="H35" s="324"/>
      <c r="I35" s="325"/>
      <c r="J35" s="81"/>
      <c r="K35" s="319">
        <f>P35+T35+X35</f>
        <v>0</v>
      </c>
      <c r="L35" s="319"/>
      <c r="M35" s="319"/>
      <c r="N35" s="81" t="s">
        <v>24</v>
      </c>
      <c r="O35" s="82" t="s">
        <v>23</v>
      </c>
      <c r="P35" s="320">
        <f>C7*E7+C8*E8+C9*E9+C10*E10+C11*E11+C12*E12+C13*E13+C14*E14+C15*E15+C16*E16</f>
        <v>0</v>
      </c>
      <c r="Q35" s="320"/>
      <c r="R35" s="83" t="s">
        <v>25</v>
      </c>
      <c r="S35" s="83" t="s">
        <v>22</v>
      </c>
      <c r="T35" s="321">
        <f>M22*O22+M23*O23</f>
        <v>0</v>
      </c>
      <c r="U35" s="321"/>
      <c r="V35" s="83" t="s">
        <v>25</v>
      </c>
      <c r="W35" s="83" t="s">
        <v>1</v>
      </c>
      <c r="X35" s="322">
        <f>SUM(O29:P31)</f>
        <v>0</v>
      </c>
      <c r="Y35" s="322"/>
      <c r="Z35" s="84" t="s">
        <v>19</v>
      </c>
    </row>
    <row r="36" spans="1:26" s="76" customFormat="1" ht="21.95" customHeight="1">
      <c r="A36" s="311"/>
      <c r="B36" s="312"/>
      <c r="C36" s="315" t="s">
        <v>92</v>
      </c>
      <c r="D36" s="316"/>
      <c r="E36" s="316"/>
      <c r="F36" s="316"/>
      <c r="G36" s="316"/>
      <c r="H36" s="316"/>
      <c r="I36" s="317"/>
      <c r="J36" s="85"/>
      <c r="K36" s="85"/>
      <c r="L36" s="85"/>
      <c r="M36" s="85"/>
      <c r="N36" s="85"/>
      <c r="O36" s="85"/>
      <c r="P36" s="85"/>
      <c r="Q36" s="85"/>
      <c r="R36" s="85"/>
      <c r="S36" s="85"/>
      <c r="T36" s="85"/>
      <c r="U36" s="85"/>
      <c r="V36" s="318">
        <f>U17+U24+U32</f>
        <v>0</v>
      </c>
      <c r="W36" s="318"/>
      <c r="X36" s="318"/>
      <c r="Y36" s="85"/>
      <c r="Z36" s="86"/>
    </row>
    <row r="37" spans="1:26" s="76" customFormat="1" ht="21.95" customHeight="1">
      <c r="A37" s="311"/>
      <c r="B37" s="312"/>
      <c r="C37" s="315" t="s">
        <v>93</v>
      </c>
      <c r="D37" s="316"/>
      <c r="E37" s="316"/>
      <c r="F37" s="316"/>
      <c r="G37" s="316"/>
      <c r="H37" s="316"/>
      <c r="I37" s="317"/>
      <c r="J37" s="85"/>
      <c r="K37" s="85"/>
      <c r="L37" s="85"/>
      <c r="M37" s="85"/>
      <c r="N37" s="85"/>
      <c r="O37" s="85"/>
      <c r="P37" s="85"/>
      <c r="Q37" s="85"/>
      <c r="R37" s="85"/>
      <c r="S37" s="85"/>
      <c r="T37" s="85"/>
      <c r="U37" s="85"/>
      <c r="V37" s="318">
        <f>W17+W24+W32</f>
        <v>0</v>
      </c>
      <c r="W37" s="318"/>
      <c r="X37" s="318"/>
      <c r="Y37" s="85"/>
      <c r="Z37" s="86"/>
    </row>
    <row r="38" spans="1:26" s="76" customFormat="1" ht="21.95" customHeight="1" thickBot="1">
      <c r="A38" s="313"/>
      <c r="B38" s="314"/>
      <c r="C38" s="326" t="s">
        <v>20</v>
      </c>
      <c r="D38" s="327"/>
      <c r="E38" s="327"/>
      <c r="F38" s="327"/>
      <c r="G38" s="327"/>
      <c r="H38" s="327"/>
      <c r="I38" s="328"/>
      <c r="J38" s="87"/>
      <c r="K38" s="87"/>
      <c r="L38" s="87"/>
      <c r="M38" s="87"/>
      <c r="N38" s="87"/>
      <c r="O38" s="87"/>
      <c r="P38" s="87"/>
      <c r="Q38" s="87"/>
      <c r="R38" s="87"/>
      <c r="S38" s="87"/>
      <c r="T38" s="87"/>
      <c r="U38" s="87"/>
      <c r="V38" s="329">
        <f>Y17+Y24+Y32</f>
        <v>0</v>
      </c>
      <c r="W38" s="329"/>
      <c r="X38" s="329"/>
      <c r="Y38" s="88" t="s">
        <v>21</v>
      </c>
      <c r="Z38" s="89"/>
    </row>
    <row r="39" spans="1:26" s="76" customFormat="1" ht="21.95" customHeight="1"/>
    <row r="40" spans="1:26" s="76" customFormat="1" ht="21.95" customHeight="1"/>
    <row r="41" spans="1:26" s="76" customFormat="1" ht="21.95" customHeight="1"/>
    <row r="42" spans="1:26" s="76" customFormat="1" ht="21.95" customHeight="1"/>
    <row r="43" spans="1:26" s="76" customFormat="1" ht="21.95" customHeight="1"/>
    <row r="44" spans="1:26" s="76" customFormat="1" ht="21.95" customHeight="1"/>
    <row r="45" spans="1:26" s="76" customFormat="1" ht="21.95" customHeight="1"/>
    <row r="46" spans="1:26" s="76" customFormat="1" ht="21.95" customHeight="1"/>
    <row r="47" spans="1:26" s="76" customFormat="1" ht="21.95" customHeight="1"/>
    <row r="48" spans="1:26" s="76" customFormat="1" ht="21.95" customHeight="1"/>
    <row r="49" s="76" customFormat="1" ht="21.95" customHeight="1"/>
    <row r="50" s="76" customFormat="1" ht="21.95" customHeight="1"/>
    <row r="51" s="76" customFormat="1" ht="21.95" customHeight="1"/>
    <row r="52" s="76" customFormat="1" ht="21.95" customHeight="1"/>
    <row r="53" s="76" customFormat="1" ht="21.95" customHeight="1"/>
    <row r="54" s="76" customFormat="1" ht="21.95" customHeight="1"/>
    <row r="55" s="76" customFormat="1" ht="24.95" customHeight="1"/>
    <row r="56" s="76" customFormat="1" ht="24.95" customHeight="1"/>
    <row r="57" s="76" customFormat="1" ht="24.95" customHeight="1"/>
    <row r="58" s="76" customFormat="1" ht="24.95" customHeight="1"/>
    <row r="59" s="76" customFormat="1" ht="24.95" customHeight="1"/>
    <row r="60" s="76" customFormat="1" ht="24.95" customHeight="1"/>
    <row r="61" s="76" customFormat="1" ht="24.95" customHeight="1"/>
    <row r="62" s="76" customFormat="1" ht="24.95" customHeight="1"/>
    <row r="63" s="76" customFormat="1" ht="24.95" customHeight="1"/>
    <row r="64" s="76" customFormat="1" ht="24.95" customHeight="1"/>
    <row r="65" s="76" customFormat="1" ht="24.95" customHeight="1"/>
    <row r="66" s="76" customFormat="1" ht="24.95" customHeight="1"/>
    <row r="67" s="76" customFormat="1" ht="24.95" customHeight="1"/>
    <row r="68" s="76" customFormat="1" ht="24.95" customHeight="1"/>
    <row r="69" s="76" customFormat="1" ht="24.95" customHeight="1"/>
    <row r="70" s="76" customFormat="1" ht="24.95" customHeight="1"/>
    <row r="71" s="76" customFormat="1" ht="24.95" customHeight="1"/>
    <row r="72" s="76" customFormat="1" ht="24.95" customHeight="1"/>
    <row r="73" s="76" customFormat="1" ht="24.95" customHeight="1"/>
    <row r="74" s="76" customFormat="1" ht="24.95" customHeight="1"/>
    <row r="75" s="76" customFormat="1" ht="24.95" customHeight="1"/>
    <row r="76" s="76" customFormat="1" ht="24.95" customHeight="1"/>
    <row r="77" s="76" customFormat="1" ht="24.95" customHeight="1"/>
    <row r="78" s="76" customFormat="1" ht="24.95" customHeight="1"/>
    <row r="79" s="76" customFormat="1" ht="24.95" customHeight="1"/>
    <row r="80" s="76" customFormat="1" ht="24.95" customHeight="1"/>
    <row r="81" s="76" customFormat="1" ht="24.95" customHeight="1"/>
    <row r="82" s="76" customFormat="1" ht="24.95" customHeight="1"/>
    <row r="83" s="76" customFormat="1" ht="24.95" customHeight="1"/>
    <row r="84" s="76" customFormat="1" ht="24.95" customHeight="1"/>
    <row r="85" s="76" customFormat="1" ht="24.95" customHeight="1"/>
    <row r="86" s="76" customFormat="1" ht="24.95" customHeight="1"/>
    <row r="87" s="76" customFormat="1" ht="24.95" customHeight="1"/>
    <row r="88" s="90" customFormat="1" ht="24.95" customHeight="1"/>
    <row r="89" s="90" customFormat="1" ht="24.95" customHeight="1"/>
    <row r="90" ht="24.95" customHeight="1"/>
    <row r="91" ht="24.95" customHeight="1"/>
    <row r="92" ht="24.95" customHeight="1"/>
    <row r="93" ht="24.95" customHeight="1"/>
    <row r="94" ht="24.95" customHeight="1"/>
    <row r="95" ht="24.95" customHeight="1"/>
    <row r="96" ht="24.95" customHeight="1"/>
    <row r="97" ht="24.95" customHeight="1"/>
    <row r="98" ht="24.95" customHeight="1"/>
    <row r="99" ht="24.95" customHeight="1"/>
    <row r="100" ht="24.95" customHeight="1"/>
  </sheetData>
  <sheetProtection sheet="1" objects="1" scenarios="1"/>
  <mergeCells count="241">
    <mergeCell ref="I23:L23"/>
    <mergeCell ref="I27:J28"/>
    <mergeCell ref="I24:T24"/>
    <mergeCell ref="I32:T32"/>
    <mergeCell ref="C5:D6"/>
    <mergeCell ref="E5:F6"/>
    <mergeCell ref="M5:N6"/>
    <mergeCell ref="O5:T5"/>
    <mergeCell ref="M7:N7"/>
    <mergeCell ref="O7:P7"/>
    <mergeCell ref="S9:T9"/>
    <mergeCell ref="S11:T11"/>
    <mergeCell ref="S13:T13"/>
    <mergeCell ref="M22:N22"/>
    <mergeCell ref="O22:P22"/>
    <mergeCell ref="Q22:R22"/>
    <mergeCell ref="S22:T22"/>
    <mergeCell ref="I20:L21"/>
    <mergeCell ref="I22:L22"/>
    <mergeCell ref="K30:L30"/>
    <mergeCell ref="M30:N30"/>
    <mergeCell ref="O30:P30"/>
    <mergeCell ref="I30:J30"/>
    <mergeCell ref="I29:J29"/>
    <mergeCell ref="A1:Z1"/>
    <mergeCell ref="Q3:T3"/>
    <mergeCell ref="U3:V3"/>
    <mergeCell ref="W3:X3"/>
    <mergeCell ref="A4:B6"/>
    <mergeCell ref="C4:F4"/>
    <mergeCell ref="G4:H6"/>
    <mergeCell ref="I4:J6"/>
    <mergeCell ref="K4:L6"/>
    <mergeCell ref="M4:T4"/>
    <mergeCell ref="I7:J7"/>
    <mergeCell ref="K7:L7"/>
    <mergeCell ref="Q7:R7"/>
    <mergeCell ref="S7:T7"/>
    <mergeCell ref="U7:V7"/>
    <mergeCell ref="AC5:AD5"/>
    <mergeCell ref="AG5:AH5"/>
    <mergeCell ref="AJ5:AK5"/>
    <mergeCell ref="AM5:AN5"/>
    <mergeCell ref="O6:P6"/>
    <mergeCell ref="Q6:R6"/>
    <mergeCell ref="S6:T6"/>
    <mergeCell ref="U4:V6"/>
    <mergeCell ref="W4:X6"/>
    <mergeCell ref="Y4:Z6"/>
    <mergeCell ref="I9:J9"/>
    <mergeCell ref="K9:L9"/>
    <mergeCell ref="M9:N9"/>
    <mergeCell ref="O9:P9"/>
    <mergeCell ref="Q9:R9"/>
    <mergeCell ref="W7:X7"/>
    <mergeCell ref="Y7:Z7"/>
    <mergeCell ref="A8:B8"/>
    <mergeCell ref="C8:D8"/>
    <mergeCell ref="E8:F8"/>
    <mergeCell ref="G8:H8"/>
    <mergeCell ref="I8:J8"/>
    <mergeCell ref="K8:L8"/>
    <mergeCell ref="M8:N8"/>
    <mergeCell ref="O8:P8"/>
    <mergeCell ref="Q8:R8"/>
    <mergeCell ref="S8:T8"/>
    <mergeCell ref="U8:V8"/>
    <mergeCell ref="W8:X8"/>
    <mergeCell ref="Y8:Z8"/>
    <mergeCell ref="A7:B7"/>
    <mergeCell ref="C7:D7"/>
    <mergeCell ref="E7:F7"/>
    <mergeCell ref="G7:H7"/>
    <mergeCell ref="K11:L11"/>
    <mergeCell ref="M11:N11"/>
    <mergeCell ref="O11:P11"/>
    <mergeCell ref="Q11:R11"/>
    <mergeCell ref="U9:V9"/>
    <mergeCell ref="W9:X9"/>
    <mergeCell ref="Y9:Z9"/>
    <mergeCell ref="A10:B10"/>
    <mergeCell ref="C10:D10"/>
    <mergeCell ref="E10:F10"/>
    <mergeCell ref="G10:H10"/>
    <mergeCell ref="I10:J10"/>
    <mergeCell ref="K10:L10"/>
    <mergeCell ref="M10:N10"/>
    <mergeCell ref="O10:P10"/>
    <mergeCell ref="Q10:R10"/>
    <mergeCell ref="S10:T10"/>
    <mergeCell ref="U10:V10"/>
    <mergeCell ref="W10:X10"/>
    <mergeCell ref="Y10:Z10"/>
    <mergeCell ref="A9:B9"/>
    <mergeCell ref="C9:D9"/>
    <mergeCell ref="E9:F9"/>
    <mergeCell ref="G9:H9"/>
    <mergeCell ref="M13:N13"/>
    <mergeCell ref="O13:P13"/>
    <mergeCell ref="Q13:R13"/>
    <mergeCell ref="U11:V11"/>
    <mergeCell ref="W11:X11"/>
    <mergeCell ref="Y11:Z11"/>
    <mergeCell ref="A12:B12"/>
    <mergeCell ref="C12:D12"/>
    <mergeCell ref="E12:F12"/>
    <mergeCell ref="G12:H12"/>
    <mergeCell ref="I12:J12"/>
    <mergeCell ref="K12:L12"/>
    <mergeCell ref="M12:N12"/>
    <mergeCell ref="O12:P12"/>
    <mergeCell ref="Q12:R12"/>
    <mergeCell ref="S12:T12"/>
    <mergeCell ref="U12:V12"/>
    <mergeCell ref="W12:X12"/>
    <mergeCell ref="Y12:Z12"/>
    <mergeCell ref="A11:B11"/>
    <mergeCell ref="C11:D11"/>
    <mergeCell ref="E11:F11"/>
    <mergeCell ref="G11:H11"/>
    <mergeCell ref="I11:J11"/>
    <mergeCell ref="Y15:Z15"/>
    <mergeCell ref="W15:X15"/>
    <mergeCell ref="U13:V13"/>
    <mergeCell ref="W13:X13"/>
    <mergeCell ref="Y13:Z13"/>
    <mergeCell ref="A14:B14"/>
    <mergeCell ref="C14:D14"/>
    <mergeCell ref="E14:F14"/>
    <mergeCell ref="G14:H14"/>
    <mergeCell ref="I14:J14"/>
    <mergeCell ref="K14:L14"/>
    <mergeCell ref="M14:N14"/>
    <mergeCell ref="O14:P14"/>
    <mergeCell ref="Q14:R14"/>
    <mergeCell ref="S14:T14"/>
    <mergeCell ref="U14:V14"/>
    <mergeCell ref="W14:X14"/>
    <mergeCell ref="Y14:Z14"/>
    <mergeCell ref="A13:B13"/>
    <mergeCell ref="C13:D13"/>
    <mergeCell ref="E13:F13"/>
    <mergeCell ref="G13:H13"/>
    <mergeCell ref="I13:J13"/>
    <mergeCell ref="K13:L13"/>
    <mergeCell ref="Q15:R15"/>
    <mergeCell ref="S15:T15"/>
    <mergeCell ref="U15:V15"/>
    <mergeCell ref="A15:B15"/>
    <mergeCell ref="C15:D15"/>
    <mergeCell ref="E15:F15"/>
    <mergeCell ref="G15:H15"/>
    <mergeCell ref="I15:J15"/>
    <mergeCell ref="K15:L15"/>
    <mergeCell ref="M15:N15"/>
    <mergeCell ref="O15:P15"/>
    <mergeCell ref="W16:X16"/>
    <mergeCell ref="Y16:Z16"/>
    <mergeCell ref="A17:T17"/>
    <mergeCell ref="U17:V17"/>
    <mergeCell ref="W17:X17"/>
    <mergeCell ref="Y17:Z17"/>
    <mergeCell ref="K16:L16"/>
    <mergeCell ref="M16:N16"/>
    <mergeCell ref="O16:P16"/>
    <mergeCell ref="Q16:R16"/>
    <mergeCell ref="A16:B16"/>
    <mergeCell ref="C16:D16"/>
    <mergeCell ref="E16:F16"/>
    <mergeCell ref="G16:H16"/>
    <mergeCell ref="I16:J16"/>
    <mergeCell ref="S16:T16"/>
    <mergeCell ref="U16:V16"/>
    <mergeCell ref="AM18:AN18"/>
    <mergeCell ref="M20:P20"/>
    <mergeCell ref="Q20:R21"/>
    <mergeCell ref="S20:T21"/>
    <mergeCell ref="U20:V21"/>
    <mergeCell ref="W20:X21"/>
    <mergeCell ref="Y20:Z21"/>
    <mergeCell ref="AM20:AN20"/>
    <mergeCell ref="M21:N21"/>
    <mergeCell ref="O21:P21"/>
    <mergeCell ref="U22:V22"/>
    <mergeCell ref="W22:X22"/>
    <mergeCell ref="Y22:Z22"/>
    <mergeCell ref="M23:N23"/>
    <mergeCell ref="O23:P23"/>
    <mergeCell ref="Q23:R23"/>
    <mergeCell ref="S23:T23"/>
    <mergeCell ref="U23:V23"/>
    <mergeCell ref="W23:X23"/>
    <mergeCell ref="Y23:Z23"/>
    <mergeCell ref="U24:V24"/>
    <mergeCell ref="W24:X24"/>
    <mergeCell ref="Y24:Z24"/>
    <mergeCell ref="K27:L28"/>
    <mergeCell ref="M27:N28"/>
    <mergeCell ref="O27:P28"/>
    <mergeCell ref="Q27:R28"/>
    <mergeCell ref="S27:T28"/>
    <mergeCell ref="K29:L29"/>
    <mergeCell ref="M29:N29"/>
    <mergeCell ref="O29:P29"/>
    <mergeCell ref="Q29:R29"/>
    <mergeCell ref="S29:T29"/>
    <mergeCell ref="U29:V29"/>
    <mergeCell ref="W30:X30"/>
    <mergeCell ref="Y30:Z30"/>
    <mergeCell ref="U27:V28"/>
    <mergeCell ref="W27:X28"/>
    <mergeCell ref="Y27:Z28"/>
    <mergeCell ref="W29:X29"/>
    <mergeCell ref="Q31:R31"/>
    <mergeCell ref="S31:T31"/>
    <mergeCell ref="U31:V31"/>
    <mergeCell ref="Y29:Z29"/>
    <mergeCell ref="Q30:R30"/>
    <mergeCell ref="S30:T30"/>
    <mergeCell ref="U30:V30"/>
    <mergeCell ref="W31:X31"/>
    <mergeCell ref="Y31:Z31"/>
    <mergeCell ref="U32:V32"/>
    <mergeCell ref="W32:X32"/>
    <mergeCell ref="Y32:Z32"/>
    <mergeCell ref="K31:L31"/>
    <mergeCell ref="M31:N31"/>
    <mergeCell ref="O31:P31"/>
    <mergeCell ref="I31:J31"/>
    <mergeCell ref="C38:I38"/>
    <mergeCell ref="V38:X38"/>
    <mergeCell ref="A35:B38"/>
    <mergeCell ref="C35:I35"/>
    <mergeCell ref="K35:M35"/>
    <mergeCell ref="P35:Q35"/>
    <mergeCell ref="T35:U35"/>
    <mergeCell ref="X35:Y35"/>
    <mergeCell ref="C36:I36"/>
    <mergeCell ref="V36:X36"/>
    <mergeCell ref="C37:I37"/>
    <mergeCell ref="V37:X37"/>
  </mergeCells>
  <phoneticPr fontId="2"/>
  <conditionalFormatting sqref="U17:V17">
    <cfRule type="expression" dxfId="158" priority="49" stopIfTrue="1">
      <formula>$U$17=0</formula>
    </cfRule>
  </conditionalFormatting>
  <conditionalFormatting sqref="W17:X17">
    <cfRule type="expression" dxfId="157" priority="48" stopIfTrue="1">
      <formula>$W$17=0</formula>
    </cfRule>
  </conditionalFormatting>
  <conditionalFormatting sqref="Y17:Z17">
    <cfRule type="expression" dxfId="156" priority="47" stopIfTrue="1">
      <formula>$Y$17=0</formula>
    </cfRule>
  </conditionalFormatting>
  <conditionalFormatting sqref="U24:V24">
    <cfRule type="expression" dxfId="155" priority="46" stopIfTrue="1">
      <formula>$U$24:$V$24=0</formula>
    </cfRule>
  </conditionalFormatting>
  <conditionalFormatting sqref="U32:V32">
    <cfRule type="expression" dxfId="154" priority="45" stopIfTrue="1">
      <formula>$U$32:$V$32=0</formula>
    </cfRule>
  </conditionalFormatting>
  <conditionalFormatting sqref="X35:Y35">
    <cfRule type="expression" dxfId="153" priority="44" stopIfTrue="1">
      <formula>$X$35=0</formula>
    </cfRule>
  </conditionalFormatting>
  <conditionalFormatting sqref="P35:Q35">
    <cfRule type="expression" dxfId="152" priority="43" stopIfTrue="1">
      <formula>$P$35=0</formula>
    </cfRule>
  </conditionalFormatting>
  <conditionalFormatting sqref="T35:U35">
    <cfRule type="expression" dxfId="151" priority="42" stopIfTrue="1">
      <formula>$T$35=0</formula>
    </cfRule>
  </conditionalFormatting>
  <conditionalFormatting sqref="K35:M35">
    <cfRule type="expression" dxfId="150" priority="41" stopIfTrue="1">
      <formula>$K$35=0</formula>
    </cfRule>
  </conditionalFormatting>
  <conditionalFormatting sqref="W7:X7">
    <cfRule type="expression" dxfId="149" priority="39" stopIfTrue="1">
      <formula>#VALUE!</formula>
    </cfRule>
    <cfRule type="expression" dxfId="148" priority="40" stopIfTrue="1">
      <formula>#VALUE!</formula>
    </cfRule>
  </conditionalFormatting>
  <conditionalFormatting sqref="W16:X16">
    <cfRule type="expression" dxfId="147" priority="38" stopIfTrue="1">
      <formula>#VALUE!</formula>
    </cfRule>
  </conditionalFormatting>
  <conditionalFormatting sqref="W7:X7">
    <cfRule type="expression" dxfId="146" priority="26" stopIfTrue="1">
      <formula>#VALUE!</formula>
    </cfRule>
    <cfRule type="expression" dxfId="145" priority="27" stopIfTrue="1">
      <formula>#VALUE!</formula>
    </cfRule>
  </conditionalFormatting>
  <conditionalFormatting sqref="W16:X16">
    <cfRule type="expression" dxfId="144" priority="25" stopIfTrue="1">
      <formula>#VALUE!</formula>
    </cfRule>
  </conditionalFormatting>
  <conditionalFormatting sqref="W24:X24">
    <cfRule type="expression" dxfId="143" priority="24" stopIfTrue="1">
      <formula>$W$24:$X$24=0</formula>
    </cfRule>
  </conditionalFormatting>
  <conditionalFormatting sqref="Y24:Z24">
    <cfRule type="expression" dxfId="142" priority="23" stopIfTrue="1">
      <formula>$Y$24:$Z$24=0</formula>
    </cfRule>
  </conditionalFormatting>
  <conditionalFormatting sqref="W32:X32">
    <cfRule type="expression" dxfId="141" priority="22" stopIfTrue="1">
      <formula>$W$32:$X$32=0</formula>
    </cfRule>
  </conditionalFormatting>
  <conditionalFormatting sqref="Y32:Z32">
    <cfRule type="expression" dxfId="140" priority="21" stopIfTrue="1">
      <formula>$Y$32:$Z$32=0</formula>
    </cfRule>
  </conditionalFormatting>
  <conditionalFormatting sqref="O7:T7">
    <cfRule type="expression" dxfId="139" priority="10" stopIfTrue="1">
      <formula>$AF$7=TRUE</formula>
    </cfRule>
  </conditionalFormatting>
  <conditionalFormatting sqref="O12:T12">
    <cfRule type="expression" dxfId="138" priority="9" stopIfTrue="1">
      <formula>$AF$12=TRUE</formula>
    </cfRule>
  </conditionalFormatting>
  <conditionalFormatting sqref="O13:T13">
    <cfRule type="expression" dxfId="137" priority="8" stopIfTrue="1">
      <formula>$AF$13=TRUE</formula>
    </cfRule>
  </conditionalFormatting>
  <conditionalFormatting sqref="O14:T14">
    <cfRule type="expression" dxfId="136" priority="7" stopIfTrue="1">
      <formula>$AF$14=TRUE</formula>
    </cfRule>
  </conditionalFormatting>
  <conditionalFormatting sqref="O15:T15">
    <cfRule type="expression" dxfId="135" priority="6" stopIfTrue="1">
      <formula>$AF$15=TRUE</formula>
    </cfRule>
  </conditionalFormatting>
  <conditionalFormatting sqref="O16:T16">
    <cfRule type="expression" dxfId="134" priority="5" stopIfTrue="1">
      <formula>$AF$16=TRUE</formula>
    </cfRule>
  </conditionalFormatting>
  <conditionalFormatting sqref="O9:T9">
    <cfRule type="expression" dxfId="133" priority="4" stopIfTrue="1">
      <formula>$AF$9=TRUE</formula>
    </cfRule>
  </conditionalFormatting>
  <conditionalFormatting sqref="O10:T10">
    <cfRule type="expression" dxfId="132" priority="3" stopIfTrue="1">
      <formula>$AF$10=TRUE</formula>
    </cfRule>
  </conditionalFormatting>
  <conditionalFormatting sqref="O11:T11">
    <cfRule type="expression" dxfId="131" priority="2" stopIfTrue="1">
      <formula>$AF$11=TRUE</formula>
    </cfRule>
  </conditionalFormatting>
  <conditionalFormatting sqref="O8:T8">
    <cfRule type="expression" dxfId="130" priority="1" stopIfTrue="1">
      <formula>$AF$8=TRUE</formula>
    </cfRule>
  </conditionalFormatting>
  <dataValidations count="1">
    <dataValidation type="list" allowBlank="1" showInputMessage="1" showErrorMessage="1" sqref="S22:T23 K7:L16">
      <formula1>"　,雨戸,ｼｬｯﾀｰ,障子,風除室"</formula1>
    </dataValidation>
  </dataValidations>
  <pageMargins left="0.59055118110236227" right="0.39370078740157483" top="0.98425196850393704" bottom="0.78740157480314965" header="0.31496062992125984" footer="0.39370078740157483"/>
  <pageSetup paperSize="9" scale="90" orientation="portrait" horizontalDpi="300" verticalDpi="300" r:id="rId1"/>
  <headerFooter>
    <oddHeader>&amp;Rver. 1.3 (excel2007)[H28]</oddHeader>
    <oddFooter>&amp;Cⓒ　2013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0353" r:id="rId4" name="Check Box 1">
              <controlPr defaultSize="0" autoFill="0" autoLine="0" autoPict="0">
                <anchor moveWithCells="1">
                  <from>
                    <xdr:col>12</xdr:col>
                    <xdr:colOff>190500</xdr:colOff>
                    <xdr:row>6</xdr:row>
                    <xdr:rowOff>47625</xdr:rowOff>
                  </from>
                  <to>
                    <xdr:col>13</xdr:col>
                    <xdr:colOff>200025</xdr:colOff>
                    <xdr:row>6</xdr:row>
                    <xdr:rowOff>257175</xdr:rowOff>
                  </to>
                </anchor>
              </controlPr>
            </control>
          </mc:Choice>
        </mc:AlternateContent>
        <mc:AlternateContent xmlns:mc="http://schemas.openxmlformats.org/markup-compatibility/2006">
          <mc:Choice Requires="x14">
            <control shapeId="100354" r:id="rId5" name="Check Box 2">
              <controlPr defaultSize="0" autoFill="0" autoLine="0" autoPict="0">
                <anchor moveWithCells="1">
                  <from>
                    <xdr:col>12</xdr:col>
                    <xdr:colOff>190500</xdr:colOff>
                    <xdr:row>7</xdr:row>
                    <xdr:rowOff>47625</xdr:rowOff>
                  </from>
                  <to>
                    <xdr:col>13</xdr:col>
                    <xdr:colOff>200025</xdr:colOff>
                    <xdr:row>7</xdr:row>
                    <xdr:rowOff>257175</xdr:rowOff>
                  </to>
                </anchor>
              </controlPr>
            </control>
          </mc:Choice>
        </mc:AlternateContent>
        <mc:AlternateContent xmlns:mc="http://schemas.openxmlformats.org/markup-compatibility/2006">
          <mc:Choice Requires="x14">
            <control shapeId="100355" r:id="rId6" name="Check Box 3">
              <controlPr defaultSize="0" autoFill="0" autoLine="0" autoPict="0">
                <anchor moveWithCells="1">
                  <from>
                    <xdr:col>12</xdr:col>
                    <xdr:colOff>190500</xdr:colOff>
                    <xdr:row>11</xdr:row>
                    <xdr:rowOff>47625</xdr:rowOff>
                  </from>
                  <to>
                    <xdr:col>13</xdr:col>
                    <xdr:colOff>200025</xdr:colOff>
                    <xdr:row>11</xdr:row>
                    <xdr:rowOff>257175</xdr:rowOff>
                  </to>
                </anchor>
              </controlPr>
            </control>
          </mc:Choice>
        </mc:AlternateContent>
        <mc:AlternateContent xmlns:mc="http://schemas.openxmlformats.org/markup-compatibility/2006">
          <mc:Choice Requires="x14">
            <control shapeId="100356" r:id="rId7" name="Check Box 4">
              <controlPr defaultSize="0" autoFill="0" autoLine="0" autoPict="0">
                <anchor moveWithCells="1">
                  <from>
                    <xdr:col>12</xdr:col>
                    <xdr:colOff>190500</xdr:colOff>
                    <xdr:row>12</xdr:row>
                    <xdr:rowOff>47625</xdr:rowOff>
                  </from>
                  <to>
                    <xdr:col>13</xdr:col>
                    <xdr:colOff>200025</xdr:colOff>
                    <xdr:row>12</xdr:row>
                    <xdr:rowOff>257175</xdr:rowOff>
                  </to>
                </anchor>
              </controlPr>
            </control>
          </mc:Choice>
        </mc:AlternateContent>
        <mc:AlternateContent xmlns:mc="http://schemas.openxmlformats.org/markup-compatibility/2006">
          <mc:Choice Requires="x14">
            <control shapeId="100357" r:id="rId8" name="Check Box 5">
              <controlPr defaultSize="0" autoFill="0" autoLine="0" autoPict="0">
                <anchor moveWithCells="1">
                  <from>
                    <xdr:col>12</xdr:col>
                    <xdr:colOff>190500</xdr:colOff>
                    <xdr:row>13</xdr:row>
                    <xdr:rowOff>47625</xdr:rowOff>
                  </from>
                  <to>
                    <xdr:col>13</xdr:col>
                    <xdr:colOff>200025</xdr:colOff>
                    <xdr:row>13</xdr:row>
                    <xdr:rowOff>257175</xdr:rowOff>
                  </to>
                </anchor>
              </controlPr>
            </control>
          </mc:Choice>
        </mc:AlternateContent>
        <mc:AlternateContent xmlns:mc="http://schemas.openxmlformats.org/markup-compatibility/2006">
          <mc:Choice Requires="x14">
            <control shapeId="100358" r:id="rId9" name="Check Box 6">
              <controlPr defaultSize="0" autoFill="0" autoLine="0" autoPict="0">
                <anchor moveWithCells="1">
                  <from>
                    <xdr:col>12</xdr:col>
                    <xdr:colOff>190500</xdr:colOff>
                    <xdr:row>14</xdr:row>
                    <xdr:rowOff>47625</xdr:rowOff>
                  </from>
                  <to>
                    <xdr:col>13</xdr:col>
                    <xdr:colOff>200025</xdr:colOff>
                    <xdr:row>14</xdr:row>
                    <xdr:rowOff>257175</xdr:rowOff>
                  </to>
                </anchor>
              </controlPr>
            </control>
          </mc:Choice>
        </mc:AlternateContent>
        <mc:AlternateContent xmlns:mc="http://schemas.openxmlformats.org/markup-compatibility/2006">
          <mc:Choice Requires="x14">
            <control shapeId="100359" r:id="rId10" name="Check Box 7">
              <controlPr defaultSize="0" autoFill="0" autoLine="0" autoPict="0">
                <anchor moveWithCells="1">
                  <from>
                    <xdr:col>12</xdr:col>
                    <xdr:colOff>190500</xdr:colOff>
                    <xdr:row>15</xdr:row>
                    <xdr:rowOff>47625</xdr:rowOff>
                  </from>
                  <to>
                    <xdr:col>13</xdr:col>
                    <xdr:colOff>200025</xdr:colOff>
                    <xdr:row>15</xdr:row>
                    <xdr:rowOff>257175</xdr:rowOff>
                  </to>
                </anchor>
              </controlPr>
            </control>
          </mc:Choice>
        </mc:AlternateContent>
        <mc:AlternateContent xmlns:mc="http://schemas.openxmlformats.org/markup-compatibility/2006">
          <mc:Choice Requires="x14">
            <control shapeId="100360" r:id="rId11" name="Check Box 8">
              <controlPr defaultSize="0" autoFill="0" autoLine="0" autoPict="0">
                <anchor moveWithCells="1">
                  <from>
                    <xdr:col>12</xdr:col>
                    <xdr:colOff>190500</xdr:colOff>
                    <xdr:row>8</xdr:row>
                    <xdr:rowOff>47625</xdr:rowOff>
                  </from>
                  <to>
                    <xdr:col>13</xdr:col>
                    <xdr:colOff>200025</xdr:colOff>
                    <xdr:row>8</xdr:row>
                    <xdr:rowOff>257175</xdr:rowOff>
                  </to>
                </anchor>
              </controlPr>
            </control>
          </mc:Choice>
        </mc:AlternateContent>
        <mc:AlternateContent xmlns:mc="http://schemas.openxmlformats.org/markup-compatibility/2006">
          <mc:Choice Requires="x14">
            <control shapeId="100361" r:id="rId12" name="Check Box 9">
              <controlPr defaultSize="0" autoFill="0" autoLine="0" autoPict="0">
                <anchor moveWithCells="1">
                  <from>
                    <xdr:col>12</xdr:col>
                    <xdr:colOff>190500</xdr:colOff>
                    <xdr:row>9</xdr:row>
                    <xdr:rowOff>47625</xdr:rowOff>
                  </from>
                  <to>
                    <xdr:col>13</xdr:col>
                    <xdr:colOff>200025</xdr:colOff>
                    <xdr:row>9</xdr:row>
                    <xdr:rowOff>257175</xdr:rowOff>
                  </to>
                </anchor>
              </controlPr>
            </control>
          </mc:Choice>
        </mc:AlternateContent>
        <mc:AlternateContent xmlns:mc="http://schemas.openxmlformats.org/markup-compatibility/2006">
          <mc:Choice Requires="x14">
            <control shapeId="100362" r:id="rId13" name="Check Box 10">
              <controlPr defaultSize="0" autoFill="0" autoLine="0" autoPict="0">
                <anchor moveWithCells="1">
                  <from>
                    <xdr:col>12</xdr:col>
                    <xdr:colOff>190500</xdr:colOff>
                    <xdr:row>10</xdr:row>
                    <xdr:rowOff>47625</xdr:rowOff>
                  </from>
                  <to>
                    <xdr:col>13</xdr:col>
                    <xdr:colOff>200025</xdr:colOff>
                    <xdr:row>10</xdr:row>
                    <xdr:rowOff>257175</xdr:rowOff>
                  </to>
                </anchor>
              </controlPr>
            </control>
          </mc:Choice>
        </mc:AlternateContent>
        <mc:AlternateContent xmlns:mc="http://schemas.openxmlformats.org/markup-compatibility/2006">
          <mc:Choice Requires="x14">
            <control shapeId="100375" r:id="rId14" name="Check Box 23">
              <controlPr defaultSize="0" autoFill="0" autoLine="0" autoPict="0">
                <anchor moveWithCells="1">
                  <from>
                    <xdr:col>18</xdr:col>
                    <xdr:colOff>190500</xdr:colOff>
                    <xdr:row>28</xdr:row>
                    <xdr:rowOff>47625</xdr:rowOff>
                  </from>
                  <to>
                    <xdr:col>19</xdr:col>
                    <xdr:colOff>200025</xdr:colOff>
                    <xdr:row>28</xdr:row>
                    <xdr:rowOff>257175</xdr:rowOff>
                  </to>
                </anchor>
              </controlPr>
            </control>
          </mc:Choice>
        </mc:AlternateContent>
        <mc:AlternateContent xmlns:mc="http://schemas.openxmlformats.org/markup-compatibility/2006">
          <mc:Choice Requires="x14">
            <control shapeId="100376" r:id="rId15" name="Check Box 24">
              <controlPr defaultSize="0" autoFill="0" autoLine="0" autoPict="0">
                <anchor moveWithCells="1">
                  <from>
                    <xdr:col>18</xdr:col>
                    <xdr:colOff>190500</xdr:colOff>
                    <xdr:row>29</xdr:row>
                    <xdr:rowOff>47625</xdr:rowOff>
                  </from>
                  <to>
                    <xdr:col>19</xdr:col>
                    <xdr:colOff>200025</xdr:colOff>
                    <xdr:row>29</xdr:row>
                    <xdr:rowOff>257175</xdr:rowOff>
                  </to>
                </anchor>
              </controlPr>
            </control>
          </mc:Choice>
        </mc:AlternateContent>
        <mc:AlternateContent xmlns:mc="http://schemas.openxmlformats.org/markup-compatibility/2006">
          <mc:Choice Requires="x14">
            <control shapeId="100377" r:id="rId16" name="Check Box 25">
              <controlPr defaultSize="0" autoFill="0" autoLine="0" autoPict="0">
                <anchor moveWithCells="1">
                  <from>
                    <xdr:col>18</xdr:col>
                    <xdr:colOff>190500</xdr:colOff>
                    <xdr:row>30</xdr:row>
                    <xdr:rowOff>47625</xdr:rowOff>
                  </from>
                  <to>
                    <xdr:col>19</xdr:col>
                    <xdr:colOff>200025</xdr:colOff>
                    <xdr:row>30</xdr:row>
                    <xdr:rowOff>257175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0"/>
  <sheetViews>
    <sheetView zoomScaleNormal="100" workbookViewId="0">
      <selection sqref="A1:Z1"/>
    </sheetView>
  </sheetViews>
  <sheetFormatPr defaultRowHeight="13.5"/>
  <cols>
    <col min="1" max="28" width="3.875" style="91" customWidth="1"/>
    <col min="29" max="30" width="10.625" style="91" hidden="1" customWidth="1"/>
    <col min="31" max="31" width="2.625" style="91" hidden="1" customWidth="1"/>
    <col min="32" max="34" width="10.625" style="91" hidden="1" customWidth="1"/>
    <col min="35" max="35" width="2.625" style="91" hidden="1" customWidth="1"/>
    <col min="36" max="37" width="15.625" style="91" hidden="1" customWidth="1"/>
    <col min="38" max="38" width="2.625" style="91" hidden="1" customWidth="1"/>
    <col min="39" max="40" width="10.625" style="91" hidden="1" customWidth="1"/>
    <col min="41" max="42" width="3.625" style="91" customWidth="1"/>
    <col min="43" max="48" width="4.625" style="91" customWidth="1"/>
    <col min="49" max="16384" width="9" style="91"/>
  </cols>
  <sheetData>
    <row r="1" spans="1:40" s="75" customFormat="1" ht="30" customHeight="1">
      <c r="A1" s="228" t="s">
        <v>140</v>
      </c>
      <c r="B1" s="228"/>
      <c r="C1" s="228"/>
      <c r="D1" s="228"/>
      <c r="E1" s="228"/>
      <c r="F1" s="228"/>
      <c r="G1" s="228"/>
      <c r="H1" s="228"/>
      <c r="I1" s="228"/>
      <c r="J1" s="228"/>
      <c r="K1" s="228"/>
      <c r="L1" s="228"/>
      <c r="M1" s="228"/>
      <c r="N1" s="228"/>
      <c r="O1" s="228"/>
      <c r="P1" s="228"/>
      <c r="Q1" s="228"/>
      <c r="R1" s="228"/>
      <c r="S1" s="228"/>
      <c r="T1" s="228"/>
      <c r="U1" s="228"/>
      <c r="V1" s="228"/>
      <c r="W1" s="228"/>
      <c r="X1" s="228"/>
      <c r="Y1" s="228"/>
      <c r="Z1" s="228"/>
    </row>
    <row r="2" spans="1:40" s="76" customFormat="1" ht="24.95" customHeight="1" thickBot="1"/>
    <row r="3" spans="1:40" s="76" customFormat="1" ht="21.95" customHeight="1" thickBot="1">
      <c r="A3" s="77" t="s">
        <v>5</v>
      </c>
      <c r="Q3" s="229" t="s">
        <v>37</v>
      </c>
      <c r="R3" s="230"/>
      <c r="S3" s="230"/>
      <c r="T3" s="231"/>
      <c r="U3" s="376" t="b">
        <f>IF(共通条件・結果!Z6="８地域","0.480",IF(共通条件・結果!Z6="７地域",0.412,IF(共通条件・結果!Z6="６地域",0.434,IF(共通条件・結果!Z6="５地域",0.472,IF(共通条件・結果!Z6="４地域",0.437,IF(共通条件・結果!Z6="３地域",0.476,IF(共通条件・結果!Z6="２地域",0.507,IF(共通条件・結果!Z6="１地域",0.502))))))))</f>
        <v>0</v>
      </c>
      <c r="V3" s="377"/>
      <c r="W3" s="376" t="b">
        <f>IF(共通条件・結果!Z6="８地域","-",IF(共通条件・結果!Z6="７地域",1.023,IF(共通条件・結果!Z6="６地域",0.936,IF(共通条件・結果!Z6="５地域",0.983,IF(共通条件・結果!Z6="４地域",0.815,IF(共通条件・結果!Z6="３地域",0.851,IF(共通条件・結果!Z6="２地域",0.856,IF(共通条件・結果!Z6="１地域",0.935))))))))</f>
        <v>0</v>
      </c>
      <c r="X3" s="377"/>
    </row>
    <row r="4" spans="1:40" s="76" customFormat="1" ht="21.95" customHeight="1">
      <c r="A4" s="236" t="s">
        <v>6</v>
      </c>
      <c r="B4" s="237"/>
      <c r="C4" s="237" t="s">
        <v>113</v>
      </c>
      <c r="D4" s="237"/>
      <c r="E4" s="237"/>
      <c r="F4" s="237"/>
      <c r="G4" s="237" t="s">
        <v>7</v>
      </c>
      <c r="H4" s="237"/>
      <c r="I4" s="254" t="s">
        <v>127</v>
      </c>
      <c r="J4" s="237"/>
      <c r="K4" s="254" t="s">
        <v>10</v>
      </c>
      <c r="L4" s="237"/>
      <c r="M4" s="262" t="s">
        <v>91</v>
      </c>
      <c r="N4" s="263"/>
      <c r="O4" s="263"/>
      <c r="P4" s="263"/>
      <c r="Q4" s="263"/>
      <c r="R4" s="263"/>
      <c r="S4" s="263"/>
      <c r="T4" s="263"/>
      <c r="U4" s="254" t="s">
        <v>86</v>
      </c>
      <c r="V4" s="237"/>
      <c r="W4" s="254" t="s">
        <v>87</v>
      </c>
      <c r="X4" s="237"/>
      <c r="Y4" s="237" t="s">
        <v>13</v>
      </c>
      <c r="Z4" s="256"/>
    </row>
    <row r="5" spans="1:40" s="76" customFormat="1" ht="21.95" customHeight="1">
      <c r="A5" s="238"/>
      <c r="B5" s="239"/>
      <c r="C5" s="242" t="s">
        <v>9</v>
      </c>
      <c r="D5" s="243"/>
      <c r="E5" s="246" t="s">
        <v>8</v>
      </c>
      <c r="F5" s="247"/>
      <c r="G5" s="239"/>
      <c r="H5" s="239"/>
      <c r="I5" s="255"/>
      <c r="J5" s="239"/>
      <c r="K5" s="255"/>
      <c r="L5" s="239"/>
      <c r="M5" s="250" t="s">
        <v>89</v>
      </c>
      <c r="N5" s="251"/>
      <c r="O5" s="259" t="s">
        <v>90</v>
      </c>
      <c r="P5" s="260"/>
      <c r="Q5" s="260"/>
      <c r="R5" s="260"/>
      <c r="S5" s="260"/>
      <c r="T5" s="261"/>
      <c r="U5" s="255"/>
      <c r="V5" s="239"/>
      <c r="W5" s="255"/>
      <c r="X5" s="239"/>
      <c r="Y5" s="239"/>
      <c r="Z5" s="257"/>
      <c r="AC5" s="264" t="s">
        <v>94</v>
      </c>
      <c r="AD5" s="264"/>
      <c r="AE5" s="78"/>
      <c r="AF5" s="78"/>
      <c r="AG5" s="264" t="s">
        <v>14</v>
      </c>
      <c r="AH5" s="264"/>
      <c r="AI5" s="78"/>
      <c r="AJ5" s="264" t="s">
        <v>95</v>
      </c>
      <c r="AK5" s="264"/>
      <c r="AM5" s="264" t="s">
        <v>110</v>
      </c>
      <c r="AN5" s="264"/>
    </row>
    <row r="6" spans="1:40" s="76" customFormat="1" ht="21.95" customHeight="1" thickBot="1">
      <c r="A6" s="240"/>
      <c r="B6" s="241"/>
      <c r="C6" s="244"/>
      <c r="D6" s="245"/>
      <c r="E6" s="248"/>
      <c r="F6" s="249"/>
      <c r="G6" s="241"/>
      <c r="H6" s="241"/>
      <c r="I6" s="241"/>
      <c r="J6" s="241"/>
      <c r="K6" s="241"/>
      <c r="L6" s="241"/>
      <c r="M6" s="252"/>
      <c r="N6" s="253"/>
      <c r="O6" s="249" t="s">
        <v>11</v>
      </c>
      <c r="P6" s="267"/>
      <c r="Q6" s="268" t="s">
        <v>12</v>
      </c>
      <c r="R6" s="269"/>
      <c r="S6" s="249" t="s">
        <v>3</v>
      </c>
      <c r="T6" s="267"/>
      <c r="U6" s="241"/>
      <c r="V6" s="241"/>
      <c r="W6" s="241"/>
      <c r="X6" s="241"/>
      <c r="Y6" s="241"/>
      <c r="Z6" s="258"/>
      <c r="AC6" s="78" t="s">
        <v>4</v>
      </c>
      <c r="AD6" s="78" t="s">
        <v>18</v>
      </c>
      <c r="AE6" s="78"/>
      <c r="AF6" s="78"/>
      <c r="AG6" s="78" t="s">
        <v>4</v>
      </c>
      <c r="AH6" s="78" t="s">
        <v>18</v>
      </c>
      <c r="AI6" s="78"/>
      <c r="AJ6" s="78" t="s">
        <v>4</v>
      </c>
      <c r="AK6" s="78" t="s">
        <v>18</v>
      </c>
      <c r="AM6" s="76" t="s">
        <v>108</v>
      </c>
      <c r="AN6" s="76" t="s">
        <v>106</v>
      </c>
    </row>
    <row r="7" spans="1:40" s="76" customFormat="1" ht="21.95" customHeight="1">
      <c r="A7" s="277"/>
      <c r="B7" s="278"/>
      <c r="C7" s="279"/>
      <c r="D7" s="280"/>
      <c r="E7" s="280"/>
      <c r="F7" s="281"/>
      <c r="G7" s="282"/>
      <c r="H7" s="282"/>
      <c r="I7" s="282"/>
      <c r="J7" s="282"/>
      <c r="K7" s="283"/>
      <c r="L7" s="283"/>
      <c r="M7" s="265"/>
      <c r="N7" s="371"/>
      <c r="O7" s="271"/>
      <c r="P7" s="272"/>
      <c r="Q7" s="273"/>
      <c r="R7" s="274"/>
      <c r="S7" s="275"/>
      <c r="T7" s="271"/>
      <c r="U7" s="270" t="str">
        <f>IF(C7="","",AC7)</f>
        <v/>
      </c>
      <c r="V7" s="270"/>
      <c r="W7" s="270" t="str">
        <f>IF(C7="","",IF(ISERROR(AD7),#VALUE!,AD7))</f>
        <v/>
      </c>
      <c r="X7" s="270"/>
      <c r="Y7" s="270" t="str">
        <f>IF(C7="","",C7*E7*AM7)</f>
        <v/>
      </c>
      <c r="Z7" s="276"/>
      <c r="AC7" s="76" t="e">
        <f>C7*E7*I7*$U$3*AG7</f>
        <v>#VALUE!</v>
      </c>
      <c r="AD7" s="76" t="e">
        <f>C7*E7*I7*$W$3*AH7</f>
        <v>#VALUE!</v>
      </c>
      <c r="AF7" s="79" t="b">
        <v>0</v>
      </c>
      <c r="AG7" s="76" t="str">
        <f>IF(AF7=TRUE,"0.93",IF(ISERROR(AJ7),"エラー",IF(AJ7&gt;0.93,"0.93",AJ7)))</f>
        <v>エラー</v>
      </c>
      <c r="AH7" s="76" t="str">
        <f>IF(AF7=TRUE,"0.51",IF(ISERROR(AK7),"エラー",IF(AK7&gt;0.72,"0.72",AK7)))</f>
        <v>エラー</v>
      </c>
      <c r="AJ7" s="76" t="e">
        <f>IF(共通条件・結果!$Z$6="８（Ⅵ）",0.01*(16+19*(2*Q7+S7)/O7),0.01*(24+9*(3*Q7+S7)/O7))</f>
        <v>#DIV/0!</v>
      </c>
      <c r="AK7" s="76" t="e">
        <f>0.01*(5+20*(3*Q7+S7)/O7)</f>
        <v>#DIV/0!</v>
      </c>
      <c r="AM7" s="76">
        <f>IF(共通条件・結果!$Z$6="８地域",G7,IF(AN7="FALSE",G7,IF(K7="風除室",1/((1/G7)+0.1),0.5*G7+0.5*(1/((1/G7)+AN7)))))</f>
        <v>0</v>
      </c>
      <c r="AN7" s="78" t="str">
        <f t="shared" ref="AN7:AN16" si="0">IF(K7="","FALSE",IF(K7="雨戸",0.1,IF(K7="ｼｬｯﾀｰ",0.1,IF(K7="障子",0.18,IF(K7="風除室",0.1)))))</f>
        <v>FALSE</v>
      </c>
    </row>
    <row r="8" spans="1:40" s="76" customFormat="1" ht="21.95" customHeight="1">
      <c r="A8" s="207"/>
      <c r="B8" s="208"/>
      <c r="C8" s="209"/>
      <c r="D8" s="210"/>
      <c r="E8" s="210"/>
      <c r="F8" s="211"/>
      <c r="G8" s="212"/>
      <c r="H8" s="212"/>
      <c r="I8" s="212"/>
      <c r="J8" s="212"/>
      <c r="K8" s="213" t="s">
        <v>85</v>
      </c>
      <c r="L8" s="213"/>
      <c r="M8" s="220"/>
      <c r="N8" s="370"/>
      <c r="O8" s="284"/>
      <c r="P8" s="222"/>
      <c r="Q8" s="285"/>
      <c r="R8" s="286"/>
      <c r="S8" s="225"/>
      <c r="T8" s="284"/>
      <c r="U8" s="205" t="str">
        <f t="shared" ref="U8:U16" si="1">IF(C8="","",AC8)</f>
        <v/>
      </c>
      <c r="V8" s="205"/>
      <c r="W8" s="205" t="str">
        <f t="shared" ref="W8:W16" si="2">IF(C8="","",IF(ISERROR(AD8),#VALUE!,AD8))</f>
        <v/>
      </c>
      <c r="X8" s="205"/>
      <c r="Y8" s="205" t="str">
        <f t="shared" ref="Y8:Y16" si="3">IF(C8="","",C8*E8*AM8)</f>
        <v/>
      </c>
      <c r="Z8" s="206"/>
      <c r="AC8" s="76" t="e">
        <f t="shared" ref="AC8:AC16" si="4">C8*E8*I8*$U$3*AG8</f>
        <v>#VALUE!</v>
      </c>
      <c r="AD8" s="76" t="e">
        <f t="shared" ref="AD8:AD16" si="5">C8*E8*I8*$W$3*AH8</f>
        <v>#VALUE!</v>
      </c>
      <c r="AF8" s="79" t="b">
        <v>0</v>
      </c>
      <c r="AG8" s="76" t="str">
        <f t="shared" ref="AG8:AG16" si="6">IF(AF8=TRUE,"0.93",IF(ISERROR(AJ8),"エラー",IF(AJ8&gt;0.93,"0.93",AJ8)))</f>
        <v>エラー</v>
      </c>
      <c r="AH8" s="76" t="str">
        <f t="shared" ref="AH8:AH16" si="7">IF(AF8=TRUE,"0.51",IF(ISERROR(AK8),"エラー",IF(AK8&gt;0.72,"0.72",AK8)))</f>
        <v>エラー</v>
      </c>
      <c r="AJ8" s="76" t="e">
        <f>IF(共通条件・結果!$Z$6="８（Ⅵ）",0.01*(16+19*(2*Q8+S8)/O8),0.01*(24+9*(3*Q8+S8)/O8))</f>
        <v>#DIV/0!</v>
      </c>
      <c r="AK8" s="76" t="e">
        <f t="shared" ref="AK8:AK16" si="8">0.01*(5+20*(3*Q8+S8)/O8)</f>
        <v>#DIV/0!</v>
      </c>
      <c r="AM8" s="76" t="e">
        <f>IF(共通条件・結果!$Z$6="８地域",G8,IF(AN8="FALSE",G8,IF(K8="風除室",1/((1/G8)+0.1),0.5*G8+0.5*(1/((1/G8)+AN8)))))</f>
        <v>#DIV/0!</v>
      </c>
      <c r="AN8" s="78" t="b">
        <f t="shared" si="0"/>
        <v>0</v>
      </c>
    </row>
    <row r="9" spans="1:40" s="76" customFormat="1" ht="21.95" customHeight="1">
      <c r="A9" s="207"/>
      <c r="B9" s="208"/>
      <c r="C9" s="209"/>
      <c r="D9" s="210"/>
      <c r="E9" s="210"/>
      <c r="F9" s="211"/>
      <c r="G9" s="212"/>
      <c r="H9" s="212"/>
      <c r="I9" s="212"/>
      <c r="J9" s="212"/>
      <c r="K9" s="213" t="s">
        <v>85</v>
      </c>
      <c r="L9" s="213"/>
      <c r="M9" s="220"/>
      <c r="N9" s="370"/>
      <c r="O9" s="222"/>
      <c r="P9" s="223"/>
      <c r="Q9" s="224"/>
      <c r="R9" s="223"/>
      <c r="S9" s="224"/>
      <c r="T9" s="225"/>
      <c r="U9" s="205" t="str">
        <f t="shared" si="1"/>
        <v/>
      </c>
      <c r="V9" s="205"/>
      <c r="W9" s="205" t="str">
        <f t="shared" si="2"/>
        <v/>
      </c>
      <c r="X9" s="205"/>
      <c r="Y9" s="205" t="str">
        <f t="shared" si="3"/>
        <v/>
      </c>
      <c r="Z9" s="206"/>
      <c r="AC9" s="76" t="e">
        <f t="shared" si="4"/>
        <v>#VALUE!</v>
      </c>
      <c r="AD9" s="76" t="e">
        <f t="shared" si="5"/>
        <v>#VALUE!</v>
      </c>
      <c r="AF9" s="79" t="b">
        <v>0</v>
      </c>
      <c r="AG9" s="76" t="str">
        <f t="shared" si="6"/>
        <v>エラー</v>
      </c>
      <c r="AH9" s="76" t="str">
        <f t="shared" si="7"/>
        <v>エラー</v>
      </c>
      <c r="AJ9" s="76" t="e">
        <f>IF(共通条件・結果!$Z$6="８（Ⅵ）",0.01*(16+19*(2*Q9+S9)/O9),0.01*(24+9*(3*Q9+S9)/O9))</f>
        <v>#DIV/0!</v>
      </c>
      <c r="AK9" s="76" t="e">
        <f t="shared" si="8"/>
        <v>#DIV/0!</v>
      </c>
      <c r="AM9" s="76" t="e">
        <f>IF(共通条件・結果!$Z$6="８地域",G9,IF(AN9="FALSE",G9,IF(K9="風除室",1/((1/G9)+0.1),0.5*G9+0.5*(1/((1/G9)+AN9)))))</f>
        <v>#DIV/0!</v>
      </c>
      <c r="AN9" s="78" t="b">
        <f t="shared" si="0"/>
        <v>0</v>
      </c>
    </row>
    <row r="10" spans="1:40" s="76" customFormat="1" ht="21.95" customHeight="1">
      <c r="A10" s="207"/>
      <c r="B10" s="208"/>
      <c r="C10" s="209"/>
      <c r="D10" s="210"/>
      <c r="E10" s="210"/>
      <c r="F10" s="211"/>
      <c r="G10" s="212"/>
      <c r="H10" s="212"/>
      <c r="I10" s="212"/>
      <c r="J10" s="212"/>
      <c r="K10" s="213" t="s">
        <v>85</v>
      </c>
      <c r="L10" s="213"/>
      <c r="M10" s="220"/>
      <c r="N10" s="370"/>
      <c r="O10" s="222"/>
      <c r="P10" s="223"/>
      <c r="Q10" s="224"/>
      <c r="R10" s="223"/>
      <c r="S10" s="224"/>
      <c r="T10" s="225"/>
      <c r="U10" s="205" t="str">
        <f t="shared" si="1"/>
        <v/>
      </c>
      <c r="V10" s="205"/>
      <c r="W10" s="205" t="str">
        <f t="shared" si="2"/>
        <v/>
      </c>
      <c r="X10" s="205"/>
      <c r="Y10" s="205" t="str">
        <f t="shared" si="3"/>
        <v/>
      </c>
      <c r="Z10" s="206"/>
      <c r="AC10" s="76" t="e">
        <f t="shared" si="4"/>
        <v>#VALUE!</v>
      </c>
      <c r="AD10" s="76" t="e">
        <f t="shared" si="5"/>
        <v>#VALUE!</v>
      </c>
      <c r="AF10" s="79" t="b">
        <v>0</v>
      </c>
      <c r="AG10" s="76" t="str">
        <f t="shared" si="6"/>
        <v>エラー</v>
      </c>
      <c r="AH10" s="76" t="str">
        <f t="shared" si="7"/>
        <v>エラー</v>
      </c>
      <c r="AJ10" s="76" t="e">
        <f>IF(共通条件・結果!$Z$6="８（Ⅵ）",0.01*(16+19*(2*Q10+S10)/O10),0.01*(24+9*(3*Q10+S10)/O10))</f>
        <v>#DIV/0!</v>
      </c>
      <c r="AK10" s="76" t="e">
        <f t="shared" si="8"/>
        <v>#DIV/0!</v>
      </c>
      <c r="AM10" s="76" t="e">
        <f>IF(共通条件・結果!$Z$6="８地域",G10,IF(AN10="FALSE",G10,IF(K10="風除室",1/((1/G10)+0.1),0.5*G10+0.5*(1/((1/G10)+AN10)))))</f>
        <v>#DIV/0!</v>
      </c>
      <c r="AN10" s="78" t="b">
        <f t="shared" si="0"/>
        <v>0</v>
      </c>
    </row>
    <row r="11" spans="1:40" s="76" customFormat="1" ht="21.95" customHeight="1">
      <c r="A11" s="207"/>
      <c r="B11" s="208"/>
      <c r="C11" s="209"/>
      <c r="D11" s="210"/>
      <c r="E11" s="210"/>
      <c r="F11" s="211"/>
      <c r="G11" s="212"/>
      <c r="H11" s="212"/>
      <c r="I11" s="212"/>
      <c r="J11" s="212"/>
      <c r="K11" s="213" t="s">
        <v>85</v>
      </c>
      <c r="L11" s="213"/>
      <c r="M11" s="220"/>
      <c r="N11" s="370"/>
      <c r="O11" s="222"/>
      <c r="P11" s="223"/>
      <c r="Q11" s="224"/>
      <c r="R11" s="223"/>
      <c r="S11" s="224"/>
      <c r="T11" s="225"/>
      <c r="U11" s="205" t="str">
        <f t="shared" si="1"/>
        <v/>
      </c>
      <c r="V11" s="205"/>
      <c r="W11" s="205" t="str">
        <f t="shared" si="2"/>
        <v/>
      </c>
      <c r="X11" s="205"/>
      <c r="Y11" s="205" t="str">
        <f t="shared" si="3"/>
        <v/>
      </c>
      <c r="Z11" s="206"/>
      <c r="AC11" s="76" t="e">
        <f t="shared" si="4"/>
        <v>#VALUE!</v>
      </c>
      <c r="AD11" s="76" t="e">
        <f t="shared" si="5"/>
        <v>#VALUE!</v>
      </c>
      <c r="AF11" s="79" t="b">
        <v>0</v>
      </c>
      <c r="AG11" s="76" t="str">
        <f t="shared" si="6"/>
        <v>エラー</v>
      </c>
      <c r="AH11" s="76" t="str">
        <f t="shared" si="7"/>
        <v>エラー</v>
      </c>
      <c r="AJ11" s="76" t="e">
        <f>IF(共通条件・結果!$Z$6="８（Ⅵ）",0.01*(16+19*(2*Q11+S11)/O11),0.01*(24+9*(3*Q11+S11)/O11))</f>
        <v>#DIV/0!</v>
      </c>
      <c r="AK11" s="76" t="e">
        <f t="shared" si="8"/>
        <v>#DIV/0!</v>
      </c>
      <c r="AM11" s="76" t="e">
        <f>IF(共通条件・結果!$Z$6="８地域",G11,IF(AN11="FALSE",G11,IF(K11="風除室",1/((1/G11)+0.1),0.5*G11+0.5*(1/((1/G11)+AN11)))))</f>
        <v>#DIV/0!</v>
      </c>
      <c r="AN11" s="78" t="b">
        <f t="shared" si="0"/>
        <v>0</v>
      </c>
    </row>
    <row r="12" spans="1:40" s="76" customFormat="1" ht="21.95" customHeight="1">
      <c r="A12" s="207"/>
      <c r="B12" s="208"/>
      <c r="C12" s="209"/>
      <c r="D12" s="210"/>
      <c r="E12" s="210"/>
      <c r="F12" s="211"/>
      <c r="G12" s="212"/>
      <c r="H12" s="212"/>
      <c r="I12" s="212"/>
      <c r="J12" s="212"/>
      <c r="K12" s="213" t="s">
        <v>85</v>
      </c>
      <c r="L12" s="213"/>
      <c r="M12" s="220"/>
      <c r="N12" s="370"/>
      <c r="O12" s="222"/>
      <c r="P12" s="223"/>
      <c r="Q12" s="224"/>
      <c r="R12" s="223"/>
      <c r="S12" s="224"/>
      <c r="T12" s="225"/>
      <c r="U12" s="226" t="str">
        <f t="shared" si="1"/>
        <v/>
      </c>
      <c r="V12" s="227"/>
      <c r="W12" s="205" t="str">
        <f t="shared" si="2"/>
        <v/>
      </c>
      <c r="X12" s="205"/>
      <c r="Y12" s="205" t="str">
        <f t="shared" si="3"/>
        <v/>
      </c>
      <c r="Z12" s="206"/>
      <c r="AC12" s="76" t="e">
        <f t="shared" si="4"/>
        <v>#VALUE!</v>
      </c>
      <c r="AD12" s="76" t="e">
        <f t="shared" si="5"/>
        <v>#VALUE!</v>
      </c>
      <c r="AF12" s="79" t="b">
        <v>0</v>
      </c>
      <c r="AG12" s="76" t="str">
        <f t="shared" si="6"/>
        <v>エラー</v>
      </c>
      <c r="AH12" s="76" t="str">
        <f t="shared" si="7"/>
        <v>エラー</v>
      </c>
      <c r="AJ12" s="76" t="e">
        <f>IF(共通条件・結果!$Z$6="８（Ⅵ）",0.01*(16+19*(2*Q12+S12)/O12),0.01*(24+9*(3*Q12+S12)/O12))</f>
        <v>#DIV/0!</v>
      </c>
      <c r="AK12" s="76" t="e">
        <f t="shared" si="8"/>
        <v>#DIV/0!</v>
      </c>
      <c r="AM12" s="76" t="e">
        <f>IF(共通条件・結果!$Z$6="８地域",G12,IF(AN12="FALSE",G12,IF(K12="風除室",1/((1/G12)+0.1),0.5*G12+0.5*(1/((1/G12)+AN12)))))</f>
        <v>#DIV/0!</v>
      </c>
      <c r="AN12" s="78" t="b">
        <f t="shared" si="0"/>
        <v>0</v>
      </c>
    </row>
    <row r="13" spans="1:40" s="76" customFormat="1" ht="21.95" customHeight="1">
      <c r="A13" s="207"/>
      <c r="B13" s="208"/>
      <c r="C13" s="209"/>
      <c r="D13" s="210"/>
      <c r="E13" s="210"/>
      <c r="F13" s="211"/>
      <c r="G13" s="212"/>
      <c r="H13" s="212"/>
      <c r="I13" s="212"/>
      <c r="J13" s="212"/>
      <c r="K13" s="213" t="s">
        <v>85</v>
      </c>
      <c r="L13" s="213"/>
      <c r="M13" s="220"/>
      <c r="N13" s="370"/>
      <c r="O13" s="222"/>
      <c r="P13" s="223"/>
      <c r="Q13" s="224"/>
      <c r="R13" s="223"/>
      <c r="S13" s="224"/>
      <c r="T13" s="225"/>
      <c r="U13" s="226" t="str">
        <f t="shared" si="1"/>
        <v/>
      </c>
      <c r="V13" s="227"/>
      <c r="W13" s="205" t="str">
        <f t="shared" si="2"/>
        <v/>
      </c>
      <c r="X13" s="205"/>
      <c r="Y13" s="205" t="str">
        <f t="shared" si="3"/>
        <v/>
      </c>
      <c r="Z13" s="206"/>
      <c r="AC13" s="76" t="e">
        <f t="shared" si="4"/>
        <v>#VALUE!</v>
      </c>
      <c r="AD13" s="76" t="e">
        <f t="shared" si="5"/>
        <v>#VALUE!</v>
      </c>
      <c r="AF13" s="79" t="b">
        <v>0</v>
      </c>
      <c r="AG13" s="76" t="str">
        <f t="shared" si="6"/>
        <v>エラー</v>
      </c>
      <c r="AH13" s="76" t="str">
        <f t="shared" si="7"/>
        <v>エラー</v>
      </c>
      <c r="AJ13" s="76" t="e">
        <f>IF(共通条件・結果!$Z$6="８（Ⅵ）",0.01*(16+19*(2*Q13+S13)/O13),0.01*(24+9*(3*Q13+S13)/O13))</f>
        <v>#DIV/0!</v>
      </c>
      <c r="AK13" s="76" t="e">
        <f t="shared" si="8"/>
        <v>#DIV/0!</v>
      </c>
      <c r="AM13" s="76" t="e">
        <f>IF(共通条件・結果!$Z$6="８地域",G13,IF(AN13="FALSE",G13,IF(K13="風除室",1/((1/G13)+0.1),0.5*G13+0.5*(1/((1/G13)+AN13)))))</f>
        <v>#DIV/0!</v>
      </c>
      <c r="AN13" s="78" t="b">
        <f t="shared" si="0"/>
        <v>0</v>
      </c>
    </row>
    <row r="14" spans="1:40" s="76" customFormat="1" ht="21.95" customHeight="1">
      <c r="A14" s="207"/>
      <c r="B14" s="208"/>
      <c r="C14" s="209"/>
      <c r="D14" s="210"/>
      <c r="E14" s="210"/>
      <c r="F14" s="211"/>
      <c r="G14" s="212"/>
      <c r="H14" s="212"/>
      <c r="I14" s="212"/>
      <c r="J14" s="212"/>
      <c r="K14" s="213" t="s">
        <v>85</v>
      </c>
      <c r="L14" s="213"/>
      <c r="M14" s="220"/>
      <c r="N14" s="370"/>
      <c r="O14" s="284"/>
      <c r="P14" s="222"/>
      <c r="Q14" s="224"/>
      <c r="R14" s="223"/>
      <c r="S14" s="224"/>
      <c r="T14" s="225"/>
      <c r="U14" s="226" t="str">
        <f t="shared" si="1"/>
        <v/>
      </c>
      <c r="V14" s="227"/>
      <c r="W14" s="205" t="str">
        <f t="shared" si="2"/>
        <v/>
      </c>
      <c r="X14" s="205"/>
      <c r="Y14" s="205" t="str">
        <f t="shared" si="3"/>
        <v/>
      </c>
      <c r="Z14" s="206"/>
      <c r="AC14" s="76" t="e">
        <f t="shared" si="4"/>
        <v>#VALUE!</v>
      </c>
      <c r="AD14" s="76" t="e">
        <f t="shared" si="5"/>
        <v>#VALUE!</v>
      </c>
      <c r="AF14" s="79" t="b">
        <v>0</v>
      </c>
      <c r="AG14" s="76" t="str">
        <f t="shared" si="6"/>
        <v>エラー</v>
      </c>
      <c r="AH14" s="76" t="str">
        <f t="shared" si="7"/>
        <v>エラー</v>
      </c>
      <c r="AJ14" s="76" t="e">
        <f>IF(共通条件・結果!$Z$6="８（Ⅵ）",0.01*(16+19*(2*Q14+S14)/O14),0.01*(24+9*(3*Q14+S14)/O14))</f>
        <v>#DIV/0!</v>
      </c>
      <c r="AK14" s="76" t="e">
        <f t="shared" si="8"/>
        <v>#DIV/0!</v>
      </c>
      <c r="AM14" s="76" t="e">
        <f>IF(共通条件・結果!$Z$6="８地域",G14,IF(AN14="FALSE",G14,IF(K14="風除室",1/((1/G14)+0.1),0.5*G14+0.5*(1/((1/G14)+AN14)))))</f>
        <v>#DIV/0!</v>
      </c>
      <c r="AN14" s="78" t="b">
        <f t="shared" si="0"/>
        <v>0</v>
      </c>
    </row>
    <row r="15" spans="1:40" s="76" customFormat="1" ht="21.95" customHeight="1">
      <c r="A15" s="207"/>
      <c r="B15" s="208"/>
      <c r="C15" s="209"/>
      <c r="D15" s="210"/>
      <c r="E15" s="210"/>
      <c r="F15" s="211"/>
      <c r="G15" s="212"/>
      <c r="H15" s="212"/>
      <c r="I15" s="212"/>
      <c r="J15" s="212"/>
      <c r="K15" s="213" t="s">
        <v>85</v>
      </c>
      <c r="L15" s="213"/>
      <c r="M15" s="220"/>
      <c r="N15" s="370"/>
      <c r="O15" s="284"/>
      <c r="P15" s="222"/>
      <c r="Q15" s="285"/>
      <c r="R15" s="286"/>
      <c r="S15" s="225"/>
      <c r="T15" s="284"/>
      <c r="U15" s="226" t="str">
        <f t="shared" si="1"/>
        <v/>
      </c>
      <c r="V15" s="227"/>
      <c r="W15" s="205" t="str">
        <f t="shared" si="2"/>
        <v/>
      </c>
      <c r="X15" s="205"/>
      <c r="Y15" s="205" t="str">
        <f t="shared" si="3"/>
        <v/>
      </c>
      <c r="Z15" s="206"/>
      <c r="AC15" s="76" t="e">
        <f t="shared" si="4"/>
        <v>#VALUE!</v>
      </c>
      <c r="AD15" s="76" t="e">
        <f t="shared" si="5"/>
        <v>#VALUE!</v>
      </c>
      <c r="AF15" s="79" t="b">
        <v>0</v>
      </c>
      <c r="AG15" s="76" t="str">
        <f t="shared" si="6"/>
        <v>エラー</v>
      </c>
      <c r="AH15" s="76" t="str">
        <f t="shared" si="7"/>
        <v>エラー</v>
      </c>
      <c r="AJ15" s="76" t="e">
        <f>IF(共通条件・結果!$Z$6="８（Ⅵ）",0.01*(16+19*(2*Q15+S15)/O15),0.01*(24+9*(3*Q15+S15)/O15))</f>
        <v>#DIV/0!</v>
      </c>
      <c r="AK15" s="76" t="e">
        <f t="shared" si="8"/>
        <v>#DIV/0!</v>
      </c>
      <c r="AM15" s="76" t="e">
        <f>IF(共通条件・結果!$Z$6="８地域",G15,IF(AN15="FALSE",G15,IF(K15="風除室",1/((1/G15)+0.1),0.5*G15+0.5*(1/((1/G15)+AN15)))))</f>
        <v>#DIV/0!</v>
      </c>
      <c r="AN15" s="78" t="b">
        <f t="shared" si="0"/>
        <v>0</v>
      </c>
    </row>
    <row r="16" spans="1:40" s="76" customFormat="1" ht="21.95" customHeight="1" thickBot="1">
      <c r="A16" s="306"/>
      <c r="B16" s="307"/>
      <c r="C16" s="308"/>
      <c r="D16" s="295"/>
      <c r="E16" s="295"/>
      <c r="F16" s="296"/>
      <c r="G16" s="294"/>
      <c r="H16" s="294"/>
      <c r="I16" s="294"/>
      <c r="J16" s="294"/>
      <c r="K16" s="283" t="s">
        <v>85</v>
      </c>
      <c r="L16" s="283"/>
      <c r="M16" s="287"/>
      <c r="N16" s="369"/>
      <c r="O16" s="289"/>
      <c r="P16" s="290"/>
      <c r="Q16" s="291"/>
      <c r="R16" s="292"/>
      <c r="S16" s="293"/>
      <c r="T16" s="289"/>
      <c r="U16" s="226" t="str">
        <f t="shared" si="1"/>
        <v/>
      </c>
      <c r="V16" s="227"/>
      <c r="W16" s="205" t="str">
        <f t="shared" si="2"/>
        <v/>
      </c>
      <c r="X16" s="205"/>
      <c r="Y16" s="300" t="str">
        <f t="shared" si="3"/>
        <v/>
      </c>
      <c r="Z16" s="301"/>
      <c r="AC16" s="76" t="e">
        <f t="shared" si="4"/>
        <v>#VALUE!</v>
      </c>
      <c r="AD16" s="76" t="e">
        <f t="shared" si="5"/>
        <v>#VALUE!</v>
      </c>
      <c r="AF16" s="79" t="b">
        <v>0</v>
      </c>
      <c r="AG16" s="76" t="str">
        <f t="shared" si="6"/>
        <v>エラー</v>
      </c>
      <c r="AH16" s="76" t="str">
        <f t="shared" si="7"/>
        <v>エラー</v>
      </c>
      <c r="AJ16" s="76" t="e">
        <f>IF(共通条件・結果!$Z$6="８（Ⅵ）",0.01*(16+19*(2*Q16+S16)/O16),0.01*(24+9*(3*Q16+S16)/O16))</f>
        <v>#DIV/0!</v>
      </c>
      <c r="AK16" s="76" t="e">
        <f t="shared" si="8"/>
        <v>#DIV/0!</v>
      </c>
      <c r="AM16" s="76" t="e">
        <f>IF(共通条件・結果!$Z$6="８地域",G16,IF(AN16="FALSE",G16,IF(K16="風除室",1/((1/G16)+0.1),0.5*G16+0.5*(1/((1/G16)+AN16)))))</f>
        <v>#DIV/0!</v>
      </c>
      <c r="AN16" s="78" t="b">
        <f t="shared" si="0"/>
        <v>0</v>
      </c>
    </row>
    <row r="17" spans="1:40" s="76" customFormat="1" ht="21.95" customHeight="1" thickBot="1">
      <c r="A17" s="302" t="s">
        <v>156</v>
      </c>
      <c r="B17" s="303"/>
      <c r="C17" s="303"/>
      <c r="D17" s="303"/>
      <c r="E17" s="303"/>
      <c r="F17" s="303"/>
      <c r="G17" s="303"/>
      <c r="H17" s="303"/>
      <c r="I17" s="303"/>
      <c r="J17" s="303"/>
      <c r="K17" s="303"/>
      <c r="L17" s="303"/>
      <c r="M17" s="303"/>
      <c r="N17" s="303"/>
      <c r="O17" s="303"/>
      <c r="P17" s="303"/>
      <c r="Q17" s="303"/>
      <c r="R17" s="303"/>
      <c r="S17" s="303"/>
      <c r="T17" s="303"/>
      <c r="U17" s="304">
        <f>SUM(U7:V16)</f>
        <v>0</v>
      </c>
      <c r="V17" s="304"/>
      <c r="W17" s="304">
        <f>SUM(W7:X16)</f>
        <v>0</v>
      </c>
      <c r="X17" s="304"/>
      <c r="Y17" s="304">
        <f>SUM(Y7:Z16)</f>
        <v>0</v>
      </c>
      <c r="Z17" s="305"/>
    </row>
    <row r="18" spans="1:40" s="76" customFormat="1" ht="9.9499999999999993" customHeight="1">
      <c r="AM18" s="264"/>
      <c r="AN18" s="264"/>
    </row>
    <row r="19" spans="1:40" s="76" customFormat="1" ht="21.95" customHeight="1" thickBot="1">
      <c r="I19" s="77" t="s">
        <v>15</v>
      </c>
      <c r="J19" s="77"/>
      <c r="K19" s="77"/>
    </row>
    <row r="20" spans="1:40" s="76" customFormat="1" ht="21.95" customHeight="1">
      <c r="I20" s="352" t="s">
        <v>16</v>
      </c>
      <c r="J20" s="356"/>
      <c r="K20" s="356"/>
      <c r="L20" s="353"/>
      <c r="M20" s="237" t="s">
        <v>113</v>
      </c>
      <c r="N20" s="237"/>
      <c r="O20" s="237"/>
      <c r="P20" s="237"/>
      <c r="Q20" s="237" t="s">
        <v>7</v>
      </c>
      <c r="R20" s="237"/>
      <c r="S20" s="366" t="s">
        <v>10</v>
      </c>
      <c r="T20" s="367"/>
      <c r="U20" s="254" t="s">
        <v>88</v>
      </c>
      <c r="V20" s="237"/>
      <c r="W20" s="254" t="s">
        <v>87</v>
      </c>
      <c r="X20" s="237"/>
      <c r="Y20" s="237" t="s">
        <v>13</v>
      </c>
      <c r="Z20" s="256"/>
      <c r="AM20" s="264" t="s">
        <v>110</v>
      </c>
      <c r="AN20" s="264"/>
    </row>
    <row r="21" spans="1:40" s="76" customFormat="1" ht="21.95" customHeight="1" thickBot="1">
      <c r="I21" s="354"/>
      <c r="J21" s="248"/>
      <c r="K21" s="248"/>
      <c r="L21" s="249"/>
      <c r="M21" s="297" t="s">
        <v>9</v>
      </c>
      <c r="N21" s="298"/>
      <c r="O21" s="299" t="s">
        <v>8</v>
      </c>
      <c r="P21" s="241"/>
      <c r="Q21" s="241"/>
      <c r="R21" s="241"/>
      <c r="S21" s="368"/>
      <c r="T21" s="368"/>
      <c r="U21" s="241"/>
      <c r="V21" s="241"/>
      <c r="W21" s="241"/>
      <c r="X21" s="241"/>
      <c r="Y21" s="241"/>
      <c r="Z21" s="258"/>
      <c r="AM21" s="76" t="s">
        <v>108</v>
      </c>
      <c r="AN21" s="76" t="s">
        <v>106</v>
      </c>
    </row>
    <row r="22" spans="1:40" s="76" customFormat="1" ht="21.95" customHeight="1">
      <c r="B22" s="80"/>
      <c r="C22" s="80"/>
      <c r="D22" s="80"/>
      <c r="E22" s="80"/>
      <c r="F22" s="80"/>
      <c r="G22" s="80"/>
      <c r="H22" s="80"/>
      <c r="I22" s="218"/>
      <c r="J22" s="357"/>
      <c r="K22" s="357"/>
      <c r="L22" s="219"/>
      <c r="M22" s="279"/>
      <c r="N22" s="280"/>
      <c r="O22" s="280"/>
      <c r="P22" s="281"/>
      <c r="Q22" s="338"/>
      <c r="R22" s="338"/>
      <c r="S22" s="283"/>
      <c r="T22" s="283"/>
      <c r="U22" s="300" t="str">
        <f>IF(M22="","",M22*O22*Q22*0.034*$U$3)</f>
        <v/>
      </c>
      <c r="V22" s="300"/>
      <c r="W22" s="300" t="str">
        <f>IF(M22="","",IF(ISERROR(M22*O22*Q22*0.034*$W$3),"-",M22*O22*Q22*0.034*$W$3))</f>
        <v/>
      </c>
      <c r="X22" s="300"/>
      <c r="Y22" s="300" t="str">
        <f>IF(M22="","",M22*O22*AM22)</f>
        <v/>
      </c>
      <c r="Z22" s="301"/>
      <c r="AM22" s="76">
        <f>IF(共通条件・結果!$Z$6="８地域",Q22,IF(AN22="FALSE",Q22,IF(S22="風除室",1/((1/Q22)+0.1),0.5*Q22+0.5*(1/((1/Q22)+AN22)))))</f>
        <v>0</v>
      </c>
      <c r="AN22" s="78" t="str">
        <f>IF(S22="","FALSE",IF(S22="雨戸",0.1,IF(S22="ｼｬｯﾀｰ",0.1,IF(S22="障子",0.18,IF(S22="風除室",0.1)))))</f>
        <v>FALSE</v>
      </c>
    </row>
    <row r="23" spans="1:40" s="76" customFormat="1" ht="21.95" customHeight="1" thickBot="1">
      <c r="B23" s="80"/>
      <c r="C23" s="80"/>
      <c r="D23" s="80"/>
      <c r="E23" s="80"/>
      <c r="F23" s="80"/>
      <c r="G23" s="80"/>
      <c r="H23" s="80"/>
      <c r="I23" s="214"/>
      <c r="J23" s="358"/>
      <c r="K23" s="358"/>
      <c r="L23" s="215"/>
      <c r="M23" s="308"/>
      <c r="N23" s="295"/>
      <c r="O23" s="295"/>
      <c r="P23" s="296"/>
      <c r="Q23" s="294"/>
      <c r="R23" s="294"/>
      <c r="S23" s="213" t="s">
        <v>85</v>
      </c>
      <c r="T23" s="213"/>
      <c r="U23" s="350" t="str">
        <f>IF(M23="","",M23*O23*Q23*0.034*$U$3)</f>
        <v/>
      </c>
      <c r="V23" s="350"/>
      <c r="W23" s="350" t="str">
        <f>IF(M23="","",IF(ISERROR(M23*O23*Q23*0.034*$W$3),"-",M23*O23*Q23*0.034*$W$3))</f>
        <v/>
      </c>
      <c r="X23" s="350"/>
      <c r="Y23" s="350" t="str">
        <f>IF(M23="","",M23*O23*AM23)</f>
        <v/>
      </c>
      <c r="Z23" s="351"/>
      <c r="AM23" s="76" t="e">
        <f>IF(共通条件・結果!$Z$6="８地域",Q23,IF(AN23="FALSE",Q23,IF(S23="風除室",1/((1/Q23)+0.1),0.5*Q23+0.5*(1/((1/Q23)+AN23)))))</f>
        <v>#DIV/0!</v>
      </c>
      <c r="AN23" s="78" t="b">
        <f>IF(S23="","FALSE",IF(S23="雨戸",0.1,IF(S23="ｼｬｯﾀｰ",0.1,IF(S23="障子",0.18,IF(S23="風除室",0.1)))))</f>
        <v>0</v>
      </c>
    </row>
    <row r="24" spans="1:40" s="76" customFormat="1" ht="21.95" customHeight="1" thickBot="1">
      <c r="B24" s="80"/>
      <c r="C24" s="80"/>
      <c r="D24" s="80"/>
      <c r="E24" s="80"/>
      <c r="F24" s="80"/>
      <c r="G24" s="80"/>
      <c r="H24" s="80"/>
      <c r="I24" s="302" t="s">
        <v>176</v>
      </c>
      <c r="J24" s="303"/>
      <c r="K24" s="303"/>
      <c r="L24" s="303"/>
      <c r="M24" s="303"/>
      <c r="N24" s="303"/>
      <c r="O24" s="303"/>
      <c r="P24" s="303"/>
      <c r="Q24" s="303"/>
      <c r="R24" s="303"/>
      <c r="S24" s="303"/>
      <c r="T24" s="355"/>
      <c r="U24" s="304">
        <f>SUM(U22:V23)</f>
        <v>0</v>
      </c>
      <c r="V24" s="304"/>
      <c r="W24" s="304">
        <f>SUM(W22:X23)</f>
        <v>0</v>
      </c>
      <c r="X24" s="304"/>
      <c r="Y24" s="304">
        <f>SUM(Y22:Z23)</f>
        <v>0</v>
      </c>
      <c r="Z24" s="305"/>
      <c r="AN24" s="78"/>
    </row>
    <row r="25" spans="1:40" s="76" customFormat="1" ht="9.9499999999999993" customHeight="1">
      <c r="B25" s="80"/>
      <c r="C25" s="80"/>
      <c r="D25" s="80"/>
      <c r="E25" s="80"/>
      <c r="F25" s="80"/>
      <c r="G25" s="80"/>
      <c r="H25" s="80"/>
      <c r="I25" s="80"/>
      <c r="AN25" s="78"/>
    </row>
    <row r="26" spans="1:40" s="76" customFormat="1" ht="21.95" customHeight="1" thickBot="1">
      <c r="B26" s="80"/>
      <c r="C26" s="80"/>
      <c r="D26" s="80"/>
      <c r="E26" s="80"/>
      <c r="F26" s="80"/>
      <c r="G26" s="80"/>
      <c r="H26" s="80"/>
      <c r="I26" s="77" t="s">
        <v>17</v>
      </c>
      <c r="J26" s="77"/>
      <c r="K26" s="77"/>
      <c r="AN26" s="78"/>
    </row>
    <row r="27" spans="1:40" s="76" customFormat="1" ht="21.95" customHeight="1">
      <c r="B27" s="80"/>
      <c r="C27" s="80"/>
      <c r="D27" s="80"/>
      <c r="E27" s="80"/>
      <c r="F27" s="80"/>
      <c r="G27" s="80"/>
      <c r="H27" s="80"/>
      <c r="I27" s="352" t="s">
        <v>0</v>
      </c>
      <c r="J27" s="353"/>
      <c r="K27" s="363" t="s">
        <v>62</v>
      </c>
      <c r="L27" s="364"/>
      <c r="M27" s="363" t="s">
        <v>200</v>
      </c>
      <c r="N27" s="364"/>
      <c r="O27" s="339" t="s">
        <v>63</v>
      </c>
      <c r="P27" s="340"/>
      <c r="Q27" s="237" t="s">
        <v>7</v>
      </c>
      <c r="R27" s="237"/>
      <c r="S27" s="359" t="s">
        <v>180</v>
      </c>
      <c r="T27" s="360"/>
      <c r="U27" s="254" t="s">
        <v>88</v>
      </c>
      <c r="V27" s="237"/>
      <c r="W27" s="254" t="s">
        <v>87</v>
      </c>
      <c r="X27" s="237"/>
      <c r="Y27" s="237" t="s">
        <v>13</v>
      </c>
      <c r="Z27" s="256"/>
      <c r="AN27" s="78"/>
    </row>
    <row r="28" spans="1:40" s="76" customFormat="1" ht="21.95" customHeight="1" thickBot="1">
      <c r="B28" s="80"/>
      <c r="C28" s="80"/>
      <c r="D28" s="80"/>
      <c r="E28" s="80"/>
      <c r="F28" s="80"/>
      <c r="G28" s="80"/>
      <c r="H28" s="80"/>
      <c r="I28" s="354"/>
      <c r="J28" s="249"/>
      <c r="K28" s="252"/>
      <c r="L28" s="365"/>
      <c r="M28" s="252"/>
      <c r="N28" s="365"/>
      <c r="O28" s="341"/>
      <c r="P28" s="342"/>
      <c r="Q28" s="241"/>
      <c r="R28" s="241"/>
      <c r="S28" s="361"/>
      <c r="T28" s="362"/>
      <c r="U28" s="241"/>
      <c r="V28" s="241"/>
      <c r="W28" s="241"/>
      <c r="X28" s="241"/>
      <c r="Y28" s="241"/>
      <c r="Z28" s="258"/>
      <c r="AD28" s="76" t="s">
        <v>170</v>
      </c>
      <c r="AE28" s="76" t="s">
        <v>171</v>
      </c>
    </row>
    <row r="29" spans="1:40" s="76" customFormat="1" ht="21.95" customHeight="1">
      <c r="B29" s="80"/>
      <c r="C29" s="80"/>
      <c r="D29" s="80"/>
      <c r="E29" s="80"/>
      <c r="F29" s="80"/>
      <c r="G29" s="80"/>
      <c r="H29" s="80"/>
      <c r="I29" s="218"/>
      <c r="J29" s="219"/>
      <c r="K29" s="334"/>
      <c r="L29" s="335"/>
      <c r="M29" s="334"/>
      <c r="N29" s="335"/>
      <c r="O29" s="336" t="str">
        <f>IF(K29="","",K29-M29)</f>
        <v/>
      </c>
      <c r="P29" s="337"/>
      <c r="Q29" s="338"/>
      <c r="R29" s="338"/>
      <c r="S29" s="338"/>
      <c r="T29" s="338"/>
      <c r="U29" s="205" t="str">
        <f>IF(O29="","",IF(AC29=TRUE,0,O29*Q29*0.034*$U$3))</f>
        <v/>
      </c>
      <c r="V29" s="205"/>
      <c r="W29" s="226" t="str">
        <f>IF(O29="","",IF(ISERROR(O29*Q29*0.034*$W$3),"-",IF(AC29=TRUE,0,O29*Q29*0.034*$W$3)))</f>
        <v/>
      </c>
      <c r="X29" s="227"/>
      <c r="Y29" s="270" t="str">
        <f>IF(Q29="","",IF(AC29=TRUE,0.7*Q29*O29,Q29*O29))</f>
        <v/>
      </c>
      <c r="Z29" s="276"/>
      <c r="AC29" s="79" t="b">
        <v>0</v>
      </c>
      <c r="AD29" s="79">
        <f>IF(AC29=TRUE,0.7,1)</f>
        <v>1</v>
      </c>
      <c r="AE29" s="79" t="str">
        <f>IF(AC29=TRUE,0,"セル")</f>
        <v>セル</v>
      </c>
    </row>
    <row r="30" spans="1:40" s="76" customFormat="1" ht="21.95" customHeight="1">
      <c r="B30" s="80"/>
      <c r="C30" s="80"/>
      <c r="D30" s="80"/>
      <c r="E30" s="80"/>
      <c r="F30" s="80"/>
      <c r="G30" s="80"/>
      <c r="H30" s="80"/>
      <c r="I30" s="216"/>
      <c r="J30" s="217"/>
      <c r="K30" s="332"/>
      <c r="L30" s="333"/>
      <c r="M30" s="332"/>
      <c r="N30" s="333"/>
      <c r="O30" s="330" t="str">
        <f>IF(K30="","",K30-M30)</f>
        <v/>
      </c>
      <c r="P30" s="331"/>
      <c r="Q30" s="212"/>
      <c r="R30" s="212"/>
      <c r="S30" s="212"/>
      <c r="T30" s="212"/>
      <c r="U30" s="205" t="str">
        <f>IF(O30="","",IF(AC30=TRUE,0,O30*Q30*0.034*$U$3))</f>
        <v/>
      </c>
      <c r="V30" s="205"/>
      <c r="W30" s="226" t="str">
        <f>IF(O30="","",IF(ISERROR(O30*Q30*0.034*$W$3),"-",IF(AC30=TRUE,0,O30*Q30*0.034*$W$3)))</f>
        <v/>
      </c>
      <c r="X30" s="227"/>
      <c r="Y30" s="205" t="str">
        <f>IF(Q30="","",IF(AC30=TRUE,0.7*Q30*O30,Q30*O30))</f>
        <v/>
      </c>
      <c r="Z30" s="206"/>
      <c r="AC30" s="79" t="b">
        <v>0</v>
      </c>
      <c r="AD30" s="79">
        <f>IF(AC30=TRUE,0.7,1)</f>
        <v>1</v>
      </c>
      <c r="AE30" s="79" t="str">
        <f>IF(AC30=TRUE,0,"セル")</f>
        <v>セル</v>
      </c>
    </row>
    <row r="31" spans="1:40" s="76" customFormat="1" ht="21.95" customHeight="1" thickBot="1">
      <c r="I31" s="214"/>
      <c r="J31" s="215"/>
      <c r="K31" s="345"/>
      <c r="L31" s="346"/>
      <c r="M31" s="345"/>
      <c r="N31" s="346"/>
      <c r="O31" s="347" t="str">
        <f>IF(K31="","",K31-M31)</f>
        <v/>
      </c>
      <c r="P31" s="348"/>
      <c r="Q31" s="349"/>
      <c r="R31" s="349"/>
      <c r="S31" s="349"/>
      <c r="T31" s="349"/>
      <c r="U31" s="300" t="str">
        <f>IF(O31="","",IF(AC31=TRUE,0,O31*Q31*0.034*$U$3))</f>
        <v/>
      </c>
      <c r="V31" s="300"/>
      <c r="W31" s="343" t="str">
        <f>IF(O31="","",IF(ISERROR(O31*Q31*0.034*$W$3),"-",IF(AC31=TRUE,0,O31*Q31*0.034*$W$3)))</f>
        <v/>
      </c>
      <c r="X31" s="344"/>
      <c r="Y31" s="300" t="str">
        <f>IF(Q31="","",IF(AC31=TRUE,0.7*Q31*O31,Q31*O31))</f>
        <v/>
      </c>
      <c r="Z31" s="301"/>
      <c r="AC31" s="79" t="b">
        <v>0</v>
      </c>
      <c r="AD31" s="79">
        <f>IF(AC31=TRUE,0.7,1)</f>
        <v>1</v>
      </c>
      <c r="AE31" s="79" t="str">
        <f>IF(AC31=TRUE,0,"セル")</f>
        <v>セル</v>
      </c>
    </row>
    <row r="32" spans="1:40" s="76" customFormat="1" ht="21.95" customHeight="1" thickBot="1">
      <c r="I32" s="302" t="s">
        <v>157</v>
      </c>
      <c r="J32" s="303"/>
      <c r="K32" s="303"/>
      <c r="L32" s="303"/>
      <c r="M32" s="303"/>
      <c r="N32" s="303"/>
      <c r="O32" s="303"/>
      <c r="P32" s="303"/>
      <c r="Q32" s="303"/>
      <c r="R32" s="303"/>
      <c r="S32" s="303"/>
      <c r="T32" s="355"/>
      <c r="U32" s="304">
        <f>SUM(U29:V31)</f>
        <v>0</v>
      </c>
      <c r="V32" s="304"/>
      <c r="W32" s="304">
        <f>SUM(W29:X31)</f>
        <v>0</v>
      </c>
      <c r="X32" s="304"/>
      <c r="Y32" s="304">
        <f>SUM(Y29:Z31)</f>
        <v>0</v>
      </c>
      <c r="Z32" s="305"/>
    </row>
    <row r="33" spans="1:26" s="76" customFormat="1" ht="9.9499999999999993" customHeight="1"/>
    <row r="34" spans="1:26" s="76" customFormat="1" ht="21.95" customHeight="1" thickBot="1">
      <c r="A34" s="77" t="s">
        <v>158</v>
      </c>
    </row>
    <row r="35" spans="1:26" s="76" customFormat="1" ht="21.95" customHeight="1">
      <c r="A35" s="309" t="s">
        <v>133</v>
      </c>
      <c r="B35" s="310"/>
      <c r="C35" s="323" t="s">
        <v>65</v>
      </c>
      <c r="D35" s="324"/>
      <c r="E35" s="324"/>
      <c r="F35" s="324"/>
      <c r="G35" s="324"/>
      <c r="H35" s="324"/>
      <c r="I35" s="325"/>
      <c r="J35" s="81"/>
      <c r="K35" s="319">
        <f>P35+T35+X35</f>
        <v>0</v>
      </c>
      <c r="L35" s="319"/>
      <c r="M35" s="319"/>
      <c r="N35" s="81" t="s">
        <v>24</v>
      </c>
      <c r="O35" s="82" t="s">
        <v>23</v>
      </c>
      <c r="P35" s="320">
        <f>C7*E7+C8*E8+C9*E9+C10*E10+C11*E11+C12*E12+C13*E13+C14*E14+C15*E15+C16*E16</f>
        <v>0</v>
      </c>
      <c r="Q35" s="320"/>
      <c r="R35" s="83" t="s">
        <v>25</v>
      </c>
      <c r="S35" s="83" t="s">
        <v>22</v>
      </c>
      <c r="T35" s="321">
        <f>M22*O22+M23*O23</f>
        <v>0</v>
      </c>
      <c r="U35" s="321"/>
      <c r="V35" s="83" t="s">
        <v>25</v>
      </c>
      <c r="W35" s="83" t="s">
        <v>1</v>
      </c>
      <c r="X35" s="322">
        <f>SUM(O29:P31)</f>
        <v>0</v>
      </c>
      <c r="Y35" s="322"/>
      <c r="Z35" s="84" t="s">
        <v>19</v>
      </c>
    </row>
    <row r="36" spans="1:26" s="76" customFormat="1" ht="21.95" customHeight="1">
      <c r="A36" s="311"/>
      <c r="B36" s="312"/>
      <c r="C36" s="315" t="s">
        <v>92</v>
      </c>
      <c r="D36" s="316"/>
      <c r="E36" s="316"/>
      <c r="F36" s="316"/>
      <c r="G36" s="316"/>
      <c r="H36" s="316"/>
      <c r="I36" s="317"/>
      <c r="J36" s="85"/>
      <c r="K36" s="85"/>
      <c r="L36" s="85"/>
      <c r="M36" s="85"/>
      <c r="N36" s="85"/>
      <c r="O36" s="85"/>
      <c r="P36" s="85"/>
      <c r="Q36" s="85"/>
      <c r="R36" s="85"/>
      <c r="S36" s="85"/>
      <c r="T36" s="85"/>
      <c r="U36" s="85"/>
      <c r="V36" s="318">
        <f>U17+U24+U32</f>
        <v>0</v>
      </c>
      <c r="W36" s="318"/>
      <c r="X36" s="318"/>
      <c r="Y36" s="85"/>
      <c r="Z36" s="86"/>
    </row>
    <row r="37" spans="1:26" s="76" customFormat="1" ht="21.95" customHeight="1">
      <c r="A37" s="311"/>
      <c r="B37" s="312"/>
      <c r="C37" s="315" t="s">
        <v>93</v>
      </c>
      <c r="D37" s="316"/>
      <c r="E37" s="316"/>
      <c r="F37" s="316"/>
      <c r="G37" s="316"/>
      <c r="H37" s="316"/>
      <c r="I37" s="317"/>
      <c r="J37" s="85"/>
      <c r="K37" s="85"/>
      <c r="L37" s="85"/>
      <c r="M37" s="85"/>
      <c r="N37" s="85"/>
      <c r="O37" s="85"/>
      <c r="P37" s="85"/>
      <c r="Q37" s="85"/>
      <c r="R37" s="85"/>
      <c r="S37" s="85"/>
      <c r="T37" s="85"/>
      <c r="U37" s="85"/>
      <c r="V37" s="318">
        <f>W17+W24+W32</f>
        <v>0</v>
      </c>
      <c r="W37" s="318"/>
      <c r="X37" s="318"/>
      <c r="Y37" s="85"/>
      <c r="Z37" s="86"/>
    </row>
    <row r="38" spans="1:26" s="76" customFormat="1" ht="21.95" customHeight="1" thickBot="1">
      <c r="A38" s="313"/>
      <c r="B38" s="314"/>
      <c r="C38" s="326" t="s">
        <v>20</v>
      </c>
      <c r="D38" s="327"/>
      <c r="E38" s="327"/>
      <c r="F38" s="327"/>
      <c r="G38" s="327"/>
      <c r="H38" s="327"/>
      <c r="I38" s="328"/>
      <c r="J38" s="87"/>
      <c r="K38" s="87"/>
      <c r="L38" s="87"/>
      <c r="M38" s="87"/>
      <c r="N38" s="87"/>
      <c r="O38" s="87"/>
      <c r="P38" s="87"/>
      <c r="Q38" s="87"/>
      <c r="R38" s="87"/>
      <c r="S38" s="87"/>
      <c r="T38" s="87"/>
      <c r="U38" s="87"/>
      <c r="V38" s="329">
        <f>Y17+Y24+Y32</f>
        <v>0</v>
      </c>
      <c r="W38" s="329"/>
      <c r="X38" s="329"/>
      <c r="Y38" s="88" t="s">
        <v>21</v>
      </c>
      <c r="Z38" s="89"/>
    </row>
    <row r="39" spans="1:26" s="76" customFormat="1" ht="21.95" customHeight="1"/>
    <row r="40" spans="1:26" s="76" customFormat="1" ht="21.95" customHeight="1"/>
    <row r="41" spans="1:26" s="76" customFormat="1" ht="21.95" customHeight="1"/>
    <row r="42" spans="1:26" s="76" customFormat="1" ht="21.95" customHeight="1"/>
    <row r="43" spans="1:26" s="76" customFormat="1" ht="21.95" customHeight="1"/>
    <row r="44" spans="1:26" s="76" customFormat="1" ht="21.95" customHeight="1"/>
    <row r="45" spans="1:26" s="76" customFormat="1" ht="21.95" customHeight="1"/>
    <row r="46" spans="1:26" s="76" customFormat="1" ht="21.95" customHeight="1"/>
    <row r="47" spans="1:26" s="76" customFormat="1" ht="21.95" customHeight="1"/>
    <row r="48" spans="1:26" s="76" customFormat="1" ht="21.95" customHeight="1"/>
    <row r="49" s="76" customFormat="1" ht="21.95" customHeight="1"/>
    <row r="50" s="76" customFormat="1" ht="21.95" customHeight="1"/>
    <row r="51" s="76" customFormat="1" ht="21.95" customHeight="1"/>
    <row r="52" s="76" customFormat="1" ht="21.95" customHeight="1"/>
    <row r="53" s="76" customFormat="1" ht="21.95" customHeight="1"/>
    <row r="54" s="76" customFormat="1" ht="21.95" customHeight="1"/>
    <row r="55" s="76" customFormat="1" ht="24.95" customHeight="1"/>
    <row r="56" s="76" customFormat="1" ht="24.95" customHeight="1"/>
    <row r="57" s="76" customFormat="1" ht="24.95" customHeight="1"/>
    <row r="58" s="76" customFormat="1" ht="24.95" customHeight="1"/>
    <row r="59" s="76" customFormat="1" ht="24.95" customHeight="1"/>
    <row r="60" s="76" customFormat="1" ht="24.95" customHeight="1"/>
    <row r="61" s="76" customFormat="1" ht="24.95" customHeight="1"/>
    <row r="62" s="76" customFormat="1" ht="24.95" customHeight="1"/>
    <row r="63" s="76" customFormat="1" ht="24.95" customHeight="1"/>
    <row r="64" s="76" customFormat="1" ht="24.95" customHeight="1"/>
    <row r="65" s="76" customFormat="1" ht="24.95" customHeight="1"/>
    <row r="66" s="76" customFormat="1" ht="24.95" customHeight="1"/>
    <row r="67" s="76" customFormat="1" ht="24.95" customHeight="1"/>
    <row r="68" s="76" customFormat="1" ht="24.95" customHeight="1"/>
    <row r="69" s="76" customFormat="1" ht="24.95" customHeight="1"/>
    <row r="70" s="76" customFormat="1" ht="24.95" customHeight="1"/>
    <row r="71" s="76" customFormat="1" ht="24.95" customHeight="1"/>
    <row r="72" s="76" customFormat="1" ht="24.95" customHeight="1"/>
    <row r="73" s="76" customFormat="1" ht="24.95" customHeight="1"/>
    <row r="74" s="76" customFormat="1" ht="24.95" customHeight="1"/>
    <row r="75" s="76" customFormat="1" ht="24.95" customHeight="1"/>
    <row r="76" s="76" customFormat="1" ht="24.95" customHeight="1"/>
    <row r="77" s="76" customFormat="1" ht="24.95" customHeight="1"/>
    <row r="78" s="76" customFormat="1" ht="24.95" customHeight="1"/>
    <row r="79" s="76" customFormat="1" ht="24.95" customHeight="1"/>
    <row r="80" s="76" customFormat="1" ht="24.95" customHeight="1"/>
    <row r="81" s="76" customFormat="1" ht="24.95" customHeight="1"/>
    <row r="82" s="76" customFormat="1" ht="24.95" customHeight="1"/>
    <row r="83" s="76" customFormat="1" ht="24.95" customHeight="1"/>
    <row r="84" s="76" customFormat="1" ht="24.95" customHeight="1"/>
    <row r="85" s="76" customFormat="1" ht="24.95" customHeight="1"/>
    <row r="86" s="76" customFormat="1" ht="24.95" customHeight="1"/>
    <row r="87" s="76" customFormat="1" ht="24.95" customHeight="1"/>
    <row r="88" s="90" customFormat="1" ht="24.95" customHeight="1"/>
    <row r="89" s="90" customFormat="1" ht="24.95" customHeight="1"/>
    <row r="90" ht="24.95" customHeight="1"/>
    <row r="91" ht="24.95" customHeight="1"/>
    <row r="92" ht="24.95" customHeight="1"/>
    <row r="93" ht="24.95" customHeight="1"/>
    <row r="94" ht="24.95" customHeight="1"/>
    <row r="95" ht="24.95" customHeight="1"/>
    <row r="96" ht="24.95" customHeight="1"/>
    <row r="97" ht="24.95" customHeight="1"/>
    <row r="98" ht="24.95" customHeight="1"/>
    <row r="99" ht="24.95" customHeight="1"/>
    <row r="100" ht="24.95" customHeight="1"/>
  </sheetData>
  <sheetProtection sheet="1" objects="1" scenarios="1"/>
  <mergeCells count="241">
    <mergeCell ref="I23:L23"/>
    <mergeCell ref="I27:J28"/>
    <mergeCell ref="I24:T24"/>
    <mergeCell ref="I32:T32"/>
    <mergeCell ref="C5:D6"/>
    <mergeCell ref="E5:F6"/>
    <mergeCell ref="M5:N6"/>
    <mergeCell ref="O5:T5"/>
    <mergeCell ref="M7:N7"/>
    <mergeCell ref="O7:P7"/>
    <mergeCell ref="S9:T9"/>
    <mergeCell ref="S11:T11"/>
    <mergeCell ref="S13:T13"/>
    <mergeCell ref="M22:N22"/>
    <mergeCell ref="O22:P22"/>
    <mergeCell ref="Q22:R22"/>
    <mergeCell ref="S22:T22"/>
    <mergeCell ref="I20:L21"/>
    <mergeCell ref="I22:L22"/>
    <mergeCell ref="K30:L30"/>
    <mergeCell ref="M30:N30"/>
    <mergeCell ref="O30:P30"/>
    <mergeCell ref="I30:J30"/>
    <mergeCell ref="I29:J29"/>
    <mergeCell ref="A1:Z1"/>
    <mergeCell ref="Q3:T3"/>
    <mergeCell ref="U3:V3"/>
    <mergeCell ref="W3:X3"/>
    <mergeCell ref="A4:B6"/>
    <mergeCell ref="C4:F4"/>
    <mergeCell ref="G4:H6"/>
    <mergeCell ref="I4:J6"/>
    <mergeCell ref="K4:L6"/>
    <mergeCell ref="M4:T4"/>
    <mergeCell ref="I7:J7"/>
    <mergeCell ref="K7:L7"/>
    <mergeCell ref="Q7:R7"/>
    <mergeCell ref="S7:T7"/>
    <mergeCell ref="U7:V7"/>
    <mergeCell ref="AC5:AD5"/>
    <mergeCell ref="AG5:AH5"/>
    <mergeCell ref="AJ5:AK5"/>
    <mergeCell ref="AM5:AN5"/>
    <mergeCell ref="O6:P6"/>
    <mergeCell ref="Q6:R6"/>
    <mergeCell ref="S6:T6"/>
    <mergeCell ref="U4:V6"/>
    <mergeCell ref="W4:X6"/>
    <mergeCell ref="Y4:Z6"/>
    <mergeCell ref="I9:J9"/>
    <mergeCell ref="K9:L9"/>
    <mergeCell ref="M9:N9"/>
    <mergeCell ref="O9:P9"/>
    <mergeCell ref="Q9:R9"/>
    <mergeCell ref="W7:X7"/>
    <mergeCell ref="Y7:Z7"/>
    <mergeCell ref="A8:B8"/>
    <mergeCell ref="C8:D8"/>
    <mergeCell ref="E8:F8"/>
    <mergeCell ref="G8:H8"/>
    <mergeCell ref="I8:J8"/>
    <mergeCell ref="K8:L8"/>
    <mergeCell ref="M8:N8"/>
    <mergeCell ref="O8:P8"/>
    <mergeCell ref="Q8:R8"/>
    <mergeCell ref="S8:T8"/>
    <mergeCell ref="U8:V8"/>
    <mergeCell ref="W8:X8"/>
    <mergeCell ref="Y8:Z8"/>
    <mergeCell ref="A7:B7"/>
    <mergeCell ref="C7:D7"/>
    <mergeCell ref="E7:F7"/>
    <mergeCell ref="G7:H7"/>
    <mergeCell ref="K11:L11"/>
    <mergeCell ref="M11:N11"/>
    <mergeCell ref="O11:P11"/>
    <mergeCell ref="Q11:R11"/>
    <mergeCell ref="U9:V9"/>
    <mergeCell ref="W9:X9"/>
    <mergeCell ref="Y9:Z9"/>
    <mergeCell ref="A10:B10"/>
    <mergeCell ref="C10:D10"/>
    <mergeCell ref="E10:F10"/>
    <mergeCell ref="G10:H10"/>
    <mergeCell ref="I10:J10"/>
    <mergeCell ref="K10:L10"/>
    <mergeCell ref="M10:N10"/>
    <mergeCell ref="O10:P10"/>
    <mergeCell ref="Q10:R10"/>
    <mergeCell ref="S10:T10"/>
    <mergeCell ref="U10:V10"/>
    <mergeCell ref="W10:X10"/>
    <mergeCell ref="Y10:Z10"/>
    <mergeCell ref="A9:B9"/>
    <mergeCell ref="C9:D9"/>
    <mergeCell ref="E9:F9"/>
    <mergeCell ref="G9:H9"/>
    <mergeCell ref="M13:N13"/>
    <mergeCell ref="O13:P13"/>
    <mergeCell ref="Q13:R13"/>
    <mergeCell ref="U11:V11"/>
    <mergeCell ref="W11:X11"/>
    <mergeCell ref="Y11:Z11"/>
    <mergeCell ref="A12:B12"/>
    <mergeCell ref="C12:D12"/>
    <mergeCell ref="E12:F12"/>
    <mergeCell ref="G12:H12"/>
    <mergeCell ref="I12:J12"/>
    <mergeCell ref="K12:L12"/>
    <mergeCell ref="M12:N12"/>
    <mergeCell ref="O12:P12"/>
    <mergeCell ref="Q12:R12"/>
    <mergeCell ref="S12:T12"/>
    <mergeCell ref="U12:V12"/>
    <mergeCell ref="W12:X12"/>
    <mergeCell ref="Y12:Z12"/>
    <mergeCell ref="A11:B11"/>
    <mergeCell ref="C11:D11"/>
    <mergeCell ref="E11:F11"/>
    <mergeCell ref="G11:H11"/>
    <mergeCell ref="I11:J11"/>
    <mergeCell ref="Y15:Z15"/>
    <mergeCell ref="W15:X15"/>
    <mergeCell ref="U13:V13"/>
    <mergeCell ref="W13:X13"/>
    <mergeCell ref="Y13:Z13"/>
    <mergeCell ref="A14:B14"/>
    <mergeCell ref="C14:D14"/>
    <mergeCell ref="E14:F14"/>
    <mergeCell ref="G14:H14"/>
    <mergeCell ref="I14:J14"/>
    <mergeCell ref="K14:L14"/>
    <mergeCell ref="M14:N14"/>
    <mergeCell ref="O14:P14"/>
    <mergeCell ref="Q14:R14"/>
    <mergeCell ref="S14:T14"/>
    <mergeCell ref="U14:V14"/>
    <mergeCell ref="W14:X14"/>
    <mergeCell ref="Y14:Z14"/>
    <mergeCell ref="A13:B13"/>
    <mergeCell ref="C13:D13"/>
    <mergeCell ref="E13:F13"/>
    <mergeCell ref="G13:H13"/>
    <mergeCell ref="I13:J13"/>
    <mergeCell ref="K13:L13"/>
    <mergeCell ref="Q15:R15"/>
    <mergeCell ref="S15:T15"/>
    <mergeCell ref="U15:V15"/>
    <mergeCell ref="A15:B15"/>
    <mergeCell ref="C15:D15"/>
    <mergeCell ref="E15:F15"/>
    <mergeCell ref="G15:H15"/>
    <mergeCell ref="I15:J15"/>
    <mergeCell ref="K15:L15"/>
    <mergeCell ref="M15:N15"/>
    <mergeCell ref="O15:P15"/>
    <mergeCell ref="W16:X16"/>
    <mergeCell ref="Y16:Z16"/>
    <mergeCell ref="A17:T17"/>
    <mergeCell ref="U17:V17"/>
    <mergeCell ref="W17:X17"/>
    <mergeCell ref="Y17:Z17"/>
    <mergeCell ref="K16:L16"/>
    <mergeCell ref="M16:N16"/>
    <mergeCell ref="O16:P16"/>
    <mergeCell ref="Q16:R16"/>
    <mergeCell ref="A16:B16"/>
    <mergeCell ref="C16:D16"/>
    <mergeCell ref="E16:F16"/>
    <mergeCell ref="G16:H16"/>
    <mergeCell ref="I16:J16"/>
    <mergeCell ref="S16:T16"/>
    <mergeCell ref="U16:V16"/>
    <mergeCell ref="AM18:AN18"/>
    <mergeCell ref="M20:P20"/>
    <mergeCell ref="Q20:R21"/>
    <mergeCell ref="S20:T21"/>
    <mergeCell ref="U20:V21"/>
    <mergeCell ref="W20:X21"/>
    <mergeCell ref="Y20:Z21"/>
    <mergeCell ref="AM20:AN20"/>
    <mergeCell ref="M21:N21"/>
    <mergeCell ref="O21:P21"/>
    <mergeCell ref="U22:V22"/>
    <mergeCell ref="W22:X22"/>
    <mergeCell ref="Y22:Z22"/>
    <mergeCell ref="M23:N23"/>
    <mergeCell ref="O23:P23"/>
    <mergeCell ref="Q23:R23"/>
    <mergeCell ref="S23:T23"/>
    <mergeCell ref="U23:V23"/>
    <mergeCell ref="W23:X23"/>
    <mergeCell ref="Y23:Z23"/>
    <mergeCell ref="U24:V24"/>
    <mergeCell ref="W24:X24"/>
    <mergeCell ref="Y24:Z24"/>
    <mergeCell ref="K27:L28"/>
    <mergeCell ref="M27:N28"/>
    <mergeCell ref="O27:P28"/>
    <mergeCell ref="Q27:R28"/>
    <mergeCell ref="S27:T28"/>
    <mergeCell ref="K29:L29"/>
    <mergeCell ref="M29:N29"/>
    <mergeCell ref="O29:P29"/>
    <mergeCell ref="Q29:R29"/>
    <mergeCell ref="S29:T29"/>
    <mergeCell ref="U29:V29"/>
    <mergeCell ref="W30:X30"/>
    <mergeCell ref="Y30:Z30"/>
    <mergeCell ref="U27:V28"/>
    <mergeCell ref="W27:X28"/>
    <mergeCell ref="Y27:Z28"/>
    <mergeCell ref="W29:X29"/>
    <mergeCell ref="Q31:R31"/>
    <mergeCell ref="S31:T31"/>
    <mergeCell ref="U31:V31"/>
    <mergeCell ref="Y29:Z29"/>
    <mergeCell ref="Q30:R30"/>
    <mergeCell ref="S30:T30"/>
    <mergeCell ref="U30:V30"/>
    <mergeCell ref="W31:X31"/>
    <mergeCell ref="Y31:Z31"/>
    <mergeCell ref="U32:V32"/>
    <mergeCell ref="W32:X32"/>
    <mergeCell ref="Y32:Z32"/>
    <mergeCell ref="K31:L31"/>
    <mergeCell ref="M31:N31"/>
    <mergeCell ref="O31:P31"/>
    <mergeCell ref="I31:J31"/>
    <mergeCell ref="C38:I38"/>
    <mergeCell ref="V38:X38"/>
    <mergeCell ref="A35:B38"/>
    <mergeCell ref="C35:I35"/>
    <mergeCell ref="K35:M35"/>
    <mergeCell ref="P35:Q35"/>
    <mergeCell ref="T35:U35"/>
    <mergeCell ref="X35:Y35"/>
    <mergeCell ref="C36:I36"/>
    <mergeCell ref="V36:X36"/>
    <mergeCell ref="C37:I37"/>
    <mergeCell ref="V37:X37"/>
  </mergeCells>
  <phoneticPr fontId="2"/>
  <conditionalFormatting sqref="U17:V17">
    <cfRule type="expression" dxfId="129" priority="49" stopIfTrue="1">
      <formula>$U$17=0</formula>
    </cfRule>
  </conditionalFormatting>
  <conditionalFormatting sqref="W17:X17">
    <cfRule type="expression" dxfId="128" priority="48" stopIfTrue="1">
      <formula>$W$17=0</formula>
    </cfRule>
  </conditionalFormatting>
  <conditionalFormatting sqref="Y17:Z17">
    <cfRule type="expression" dxfId="127" priority="47" stopIfTrue="1">
      <formula>$Y$17=0</formula>
    </cfRule>
  </conditionalFormatting>
  <conditionalFormatting sqref="U24:V24">
    <cfRule type="expression" dxfId="126" priority="46" stopIfTrue="1">
      <formula>$U$24:$V$24=0</formula>
    </cfRule>
  </conditionalFormatting>
  <conditionalFormatting sqref="U32:V32">
    <cfRule type="expression" dxfId="125" priority="45" stopIfTrue="1">
      <formula>$U$32:$V$32=0</formula>
    </cfRule>
  </conditionalFormatting>
  <conditionalFormatting sqref="X35:Y35">
    <cfRule type="expression" dxfId="124" priority="44" stopIfTrue="1">
      <formula>$X$35=0</formula>
    </cfRule>
  </conditionalFormatting>
  <conditionalFormatting sqref="P35:Q35">
    <cfRule type="expression" dxfId="123" priority="43" stopIfTrue="1">
      <formula>$P$35=0</formula>
    </cfRule>
  </conditionalFormatting>
  <conditionalFormatting sqref="T35:U35">
    <cfRule type="expression" dxfId="122" priority="42" stopIfTrue="1">
      <formula>$T$35=0</formula>
    </cfRule>
  </conditionalFormatting>
  <conditionalFormatting sqref="K35:M35">
    <cfRule type="expression" dxfId="121" priority="41" stopIfTrue="1">
      <formula>$K$35=0</formula>
    </cfRule>
  </conditionalFormatting>
  <conditionalFormatting sqref="W7:X7">
    <cfRule type="expression" dxfId="120" priority="39" stopIfTrue="1">
      <formula>#VALUE!</formula>
    </cfRule>
    <cfRule type="expression" dxfId="119" priority="40" stopIfTrue="1">
      <formula>#VALUE!</formula>
    </cfRule>
  </conditionalFormatting>
  <conditionalFormatting sqref="W16:X16">
    <cfRule type="expression" dxfId="118" priority="38" stopIfTrue="1">
      <formula>#VALUE!</formula>
    </cfRule>
  </conditionalFormatting>
  <conditionalFormatting sqref="W7:X7">
    <cfRule type="expression" dxfId="117" priority="26" stopIfTrue="1">
      <formula>#VALUE!</formula>
    </cfRule>
    <cfRule type="expression" dxfId="116" priority="27" stopIfTrue="1">
      <formula>#VALUE!</formula>
    </cfRule>
  </conditionalFormatting>
  <conditionalFormatting sqref="W16:X16">
    <cfRule type="expression" dxfId="115" priority="25" stopIfTrue="1">
      <formula>#VALUE!</formula>
    </cfRule>
  </conditionalFormatting>
  <conditionalFormatting sqref="W24:X24">
    <cfRule type="expression" dxfId="114" priority="24" stopIfTrue="1">
      <formula>$W$24:$X$24=0</formula>
    </cfRule>
  </conditionalFormatting>
  <conditionalFormatting sqref="Y24:Z24">
    <cfRule type="expression" dxfId="113" priority="23" stopIfTrue="1">
      <formula>$Y$24:$Z$24=0</formula>
    </cfRule>
  </conditionalFormatting>
  <conditionalFormatting sqref="W32:X32">
    <cfRule type="expression" dxfId="112" priority="22" stopIfTrue="1">
      <formula>$W$32:$X$32=0</formula>
    </cfRule>
  </conditionalFormatting>
  <conditionalFormatting sqref="Y32:Z32">
    <cfRule type="expression" dxfId="111" priority="21" stopIfTrue="1">
      <formula>$Y$32:$Z$32=0</formula>
    </cfRule>
  </conditionalFormatting>
  <conditionalFormatting sqref="O7:T7">
    <cfRule type="expression" dxfId="110" priority="10" stopIfTrue="1">
      <formula>$AF$7=TRUE</formula>
    </cfRule>
  </conditionalFormatting>
  <conditionalFormatting sqref="O12:T12">
    <cfRule type="expression" dxfId="109" priority="9" stopIfTrue="1">
      <formula>$AF$12=TRUE</formula>
    </cfRule>
  </conditionalFormatting>
  <conditionalFormatting sqref="O13:T13">
    <cfRule type="expression" dxfId="108" priority="8" stopIfTrue="1">
      <formula>$AF$13=TRUE</formula>
    </cfRule>
  </conditionalFormatting>
  <conditionalFormatting sqref="O14:T14">
    <cfRule type="expression" dxfId="107" priority="7" stopIfTrue="1">
      <formula>$AF$14=TRUE</formula>
    </cfRule>
  </conditionalFormatting>
  <conditionalFormatting sqref="O15:T15">
    <cfRule type="expression" dxfId="106" priority="6" stopIfTrue="1">
      <formula>$AF$15=TRUE</formula>
    </cfRule>
  </conditionalFormatting>
  <conditionalFormatting sqref="O16:T16">
    <cfRule type="expression" dxfId="105" priority="5" stopIfTrue="1">
      <formula>$AF$16=TRUE</formula>
    </cfRule>
  </conditionalFormatting>
  <conditionalFormatting sqref="O9:T9">
    <cfRule type="expression" dxfId="104" priority="4" stopIfTrue="1">
      <formula>$AF$9=TRUE</formula>
    </cfRule>
  </conditionalFormatting>
  <conditionalFormatting sqref="O10:T10">
    <cfRule type="expression" dxfId="103" priority="3" stopIfTrue="1">
      <formula>$AF$10=TRUE</formula>
    </cfRule>
  </conditionalFormatting>
  <conditionalFormatting sqref="O11:T11">
    <cfRule type="expression" dxfId="102" priority="2" stopIfTrue="1">
      <formula>$AF$11=TRUE</formula>
    </cfRule>
  </conditionalFormatting>
  <conditionalFormatting sqref="O8:T8">
    <cfRule type="expression" dxfId="101" priority="1" stopIfTrue="1">
      <formula>$AF$8=TRUE</formula>
    </cfRule>
  </conditionalFormatting>
  <dataValidations count="1">
    <dataValidation type="list" allowBlank="1" showInputMessage="1" showErrorMessage="1" sqref="S22:T23 K7:L16">
      <formula1>"　,雨戸,ｼｬｯﾀｰ,障子,風除室"</formula1>
    </dataValidation>
  </dataValidations>
  <pageMargins left="0.59055118110236227" right="0.39370078740157483" top="0.98425196850393704" bottom="0.78740157480314965" header="0.31496062992125984" footer="0.39370078740157483"/>
  <pageSetup paperSize="9" scale="90" orientation="portrait" horizontalDpi="300" verticalDpi="300" r:id="rId1"/>
  <headerFooter>
    <oddHeader>&amp;Rver. 1.3 (excel2007)[H28]</oddHeader>
    <oddFooter>&amp;Cⓒ　2013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1377" r:id="rId4" name="Check Box 1">
              <controlPr defaultSize="0" autoFill="0" autoLine="0" autoPict="0">
                <anchor moveWithCells="1">
                  <from>
                    <xdr:col>12</xdr:col>
                    <xdr:colOff>190500</xdr:colOff>
                    <xdr:row>6</xdr:row>
                    <xdr:rowOff>47625</xdr:rowOff>
                  </from>
                  <to>
                    <xdr:col>13</xdr:col>
                    <xdr:colOff>200025</xdr:colOff>
                    <xdr:row>6</xdr:row>
                    <xdr:rowOff>257175</xdr:rowOff>
                  </to>
                </anchor>
              </controlPr>
            </control>
          </mc:Choice>
        </mc:AlternateContent>
        <mc:AlternateContent xmlns:mc="http://schemas.openxmlformats.org/markup-compatibility/2006">
          <mc:Choice Requires="x14">
            <control shapeId="101378" r:id="rId5" name="Check Box 2">
              <controlPr defaultSize="0" autoFill="0" autoLine="0" autoPict="0">
                <anchor moveWithCells="1">
                  <from>
                    <xdr:col>12</xdr:col>
                    <xdr:colOff>190500</xdr:colOff>
                    <xdr:row>7</xdr:row>
                    <xdr:rowOff>47625</xdr:rowOff>
                  </from>
                  <to>
                    <xdr:col>13</xdr:col>
                    <xdr:colOff>200025</xdr:colOff>
                    <xdr:row>7</xdr:row>
                    <xdr:rowOff>257175</xdr:rowOff>
                  </to>
                </anchor>
              </controlPr>
            </control>
          </mc:Choice>
        </mc:AlternateContent>
        <mc:AlternateContent xmlns:mc="http://schemas.openxmlformats.org/markup-compatibility/2006">
          <mc:Choice Requires="x14">
            <control shapeId="101379" r:id="rId6" name="Check Box 3">
              <controlPr defaultSize="0" autoFill="0" autoLine="0" autoPict="0">
                <anchor moveWithCells="1">
                  <from>
                    <xdr:col>12</xdr:col>
                    <xdr:colOff>190500</xdr:colOff>
                    <xdr:row>11</xdr:row>
                    <xdr:rowOff>47625</xdr:rowOff>
                  </from>
                  <to>
                    <xdr:col>13</xdr:col>
                    <xdr:colOff>200025</xdr:colOff>
                    <xdr:row>11</xdr:row>
                    <xdr:rowOff>257175</xdr:rowOff>
                  </to>
                </anchor>
              </controlPr>
            </control>
          </mc:Choice>
        </mc:AlternateContent>
        <mc:AlternateContent xmlns:mc="http://schemas.openxmlformats.org/markup-compatibility/2006">
          <mc:Choice Requires="x14">
            <control shapeId="101380" r:id="rId7" name="Check Box 4">
              <controlPr defaultSize="0" autoFill="0" autoLine="0" autoPict="0">
                <anchor moveWithCells="1">
                  <from>
                    <xdr:col>12</xdr:col>
                    <xdr:colOff>190500</xdr:colOff>
                    <xdr:row>12</xdr:row>
                    <xdr:rowOff>47625</xdr:rowOff>
                  </from>
                  <to>
                    <xdr:col>13</xdr:col>
                    <xdr:colOff>200025</xdr:colOff>
                    <xdr:row>12</xdr:row>
                    <xdr:rowOff>257175</xdr:rowOff>
                  </to>
                </anchor>
              </controlPr>
            </control>
          </mc:Choice>
        </mc:AlternateContent>
        <mc:AlternateContent xmlns:mc="http://schemas.openxmlformats.org/markup-compatibility/2006">
          <mc:Choice Requires="x14">
            <control shapeId="101381" r:id="rId8" name="Check Box 5">
              <controlPr defaultSize="0" autoFill="0" autoLine="0" autoPict="0">
                <anchor moveWithCells="1">
                  <from>
                    <xdr:col>12</xdr:col>
                    <xdr:colOff>190500</xdr:colOff>
                    <xdr:row>13</xdr:row>
                    <xdr:rowOff>47625</xdr:rowOff>
                  </from>
                  <to>
                    <xdr:col>13</xdr:col>
                    <xdr:colOff>200025</xdr:colOff>
                    <xdr:row>13</xdr:row>
                    <xdr:rowOff>257175</xdr:rowOff>
                  </to>
                </anchor>
              </controlPr>
            </control>
          </mc:Choice>
        </mc:AlternateContent>
        <mc:AlternateContent xmlns:mc="http://schemas.openxmlformats.org/markup-compatibility/2006">
          <mc:Choice Requires="x14">
            <control shapeId="101382" r:id="rId9" name="Check Box 6">
              <controlPr defaultSize="0" autoFill="0" autoLine="0" autoPict="0">
                <anchor moveWithCells="1">
                  <from>
                    <xdr:col>12</xdr:col>
                    <xdr:colOff>190500</xdr:colOff>
                    <xdr:row>14</xdr:row>
                    <xdr:rowOff>47625</xdr:rowOff>
                  </from>
                  <to>
                    <xdr:col>13</xdr:col>
                    <xdr:colOff>200025</xdr:colOff>
                    <xdr:row>14</xdr:row>
                    <xdr:rowOff>257175</xdr:rowOff>
                  </to>
                </anchor>
              </controlPr>
            </control>
          </mc:Choice>
        </mc:AlternateContent>
        <mc:AlternateContent xmlns:mc="http://schemas.openxmlformats.org/markup-compatibility/2006">
          <mc:Choice Requires="x14">
            <control shapeId="101383" r:id="rId10" name="Check Box 7">
              <controlPr defaultSize="0" autoFill="0" autoLine="0" autoPict="0">
                <anchor moveWithCells="1">
                  <from>
                    <xdr:col>12</xdr:col>
                    <xdr:colOff>190500</xdr:colOff>
                    <xdr:row>15</xdr:row>
                    <xdr:rowOff>47625</xdr:rowOff>
                  </from>
                  <to>
                    <xdr:col>13</xdr:col>
                    <xdr:colOff>200025</xdr:colOff>
                    <xdr:row>15</xdr:row>
                    <xdr:rowOff>257175</xdr:rowOff>
                  </to>
                </anchor>
              </controlPr>
            </control>
          </mc:Choice>
        </mc:AlternateContent>
        <mc:AlternateContent xmlns:mc="http://schemas.openxmlformats.org/markup-compatibility/2006">
          <mc:Choice Requires="x14">
            <control shapeId="101384" r:id="rId11" name="Check Box 8">
              <controlPr defaultSize="0" autoFill="0" autoLine="0" autoPict="0">
                <anchor moveWithCells="1">
                  <from>
                    <xdr:col>12</xdr:col>
                    <xdr:colOff>190500</xdr:colOff>
                    <xdr:row>8</xdr:row>
                    <xdr:rowOff>47625</xdr:rowOff>
                  </from>
                  <to>
                    <xdr:col>13</xdr:col>
                    <xdr:colOff>200025</xdr:colOff>
                    <xdr:row>8</xdr:row>
                    <xdr:rowOff>257175</xdr:rowOff>
                  </to>
                </anchor>
              </controlPr>
            </control>
          </mc:Choice>
        </mc:AlternateContent>
        <mc:AlternateContent xmlns:mc="http://schemas.openxmlformats.org/markup-compatibility/2006">
          <mc:Choice Requires="x14">
            <control shapeId="101385" r:id="rId12" name="Check Box 9">
              <controlPr defaultSize="0" autoFill="0" autoLine="0" autoPict="0">
                <anchor moveWithCells="1">
                  <from>
                    <xdr:col>12</xdr:col>
                    <xdr:colOff>190500</xdr:colOff>
                    <xdr:row>9</xdr:row>
                    <xdr:rowOff>47625</xdr:rowOff>
                  </from>
                  <to>
                    <xdr:col>13</xdr:col>
                    <xdr:colOff>200025</xdr:colOff>
                    <xdr:row>9</xdr:row>
                    <xdr:rowOff>257175</xdr:rowOff>
                  </to>
                </anchor>
              </controlPr>
            </control>
          </mc:Choice>
        </mc:AlternateContent>
        <mc:AlternateContent xmlns:mc="http://schemas.openxmlformats.org/markup-compatibility/2006">
          <mc:Choice Requires="x14">
            <control shapeId="101386" r:id="rId13" name="Check Box 10">
              <controlPr defaultSize="0" autoFill="0" autoLine="0" autoPict="0">
                <anchor moveWithCells="1">
                  <from>
                    <xdr:col>12</xdr:col>
                    <xdr:colOff>190500</xdr:colOff>
                    <xdr:row>10</xdr:row>
                    <xdr:rowOff>47625</xdr:rowOff>
                  </from>
                  <to>
                    <xdr:col>13</xdr:col>
                    <xdr:colOff>200025</xdr:colOff>
                    <xdr:row>10</xdr:row>
                    <xdr:rowOff>257175</xdr:rowOff>
                  </to>
                </anchor>
              </controlPr>
            </control>
          </mc:Choice>
        </mc:AlternateContent>
        <mc:AlternateContent xmlns:mc="http://schemas.openxmlformats.org/markup-compatibility/2006">
          <mc:Choice Requires="x14">
            <control shapeId="101398" r:id="rId14" name="Check Box 22">
              <controlPr defaultSize="0" autoFill="0" autoLine="0" autoPict="0">
                <anchor moveWithCells="1">
                  <from>
                    <xdr:col>18</xdr:col>
                    <xdr:colOff>190500</xdr:colOff>
                    <xdr:row>28</xdr:row>
                    <xdr:rowOff>47625</xdr:rowOff>
                  </from>
                  <to>
                    <xdr:col>19</xdr:col>
                    <xdr:colOff>200025</xdr:colOff>
                    <xdr:row>28</xdr:row>
                    <xdr:rowOff>257175</xdr:rowOff>
                  </to>
                </anchor>
              </controlPr>
            </control>
          </mc:Choice>
        </mc:AlternateContent>
        <mc:AlternateContent xmlns:mc="http://schemas.openxmlformats.org/markup-compatibility/2006">
          <mc:Choice Requires="x14">
            <control shapeId="101399" r:id="rId15" name="Check Box 23">
              <controlPr defaultSize="0" autoFill="0" autoLine="0" autoPict="0">
                <anchor moveWithCells="1">
                  <from>
                    <xdr:col>18</xdr:col>
                    <xdr:colOff>190500</xdr:colOff>
                    <xdr:row>29</xdr:row>
                    <xdr:rowOff>47625</xdr:rowOff>
                  </from>
                  <to>
                    <xdr:col>19</xdr:col>
                    <xdr:colOff>200025</xdr:colOff>
                    <xdr:row>29</xdr:row>
                    <xdr:rowOff>257175</xdr:rowOff>
                  </to>
                </anchor>
              </controlPr>
            </control>
          </mc:Choice>
        </mc:AlternateContent>
        <mc:AlternateContent xmlns:mc="http://schemas.openxmlformats.org/markup-compatibility/2006">
          <mc:Choice Requires="x14">
            <control shapeId="101400" r:id="rId16" name="Check Box 24">
              <controlPr defaultSize="0" autoFill="0" autoLine="0" autoPict="0">
                <anchor moveWithCells="1">
                  <from>
                    <xdr:col>18</xdr:col>
                    <xdr:colOff>190500</xdr:colOff>
                    <xdr:row>30</xdr:row>
                    <xdr:rowOff>47625</xdr:rowOff>
                  </from>
                  <to>
                    <xdr:col>19</xdr:col>
                    <xdr:colOff>200025</xdr:colOff>
                    <xdr:row>30</xdr:row>
                    <xdr:rowOff>257175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0"/>
  <sheetViews>
    <sheetView zoomScaleNormal="100" workbookViewId="0">
      <selection sqref="A1:Z1"/>
    </sheetView>
  </sheetViews>
  <sheetFormatPr defaultRowHeight="13.5"/>
  <cols>
    <col min="1" max="28" width="3.875" style="91" customWidth="1"/>
    <col min="29" max="30" width="10.625" style="91" hidden="1" customWidth="1"/>
    <col min="31" max="31" width="2.625" style="91" hidden="1" customWidth="1"/>
    <col min="32" max="34" width="10.625" style="91" hidden="1" customWidth="1"/>
    <col min="35" max="35" width="2.625" style="91" hidden="1" customWidth="1"/>
    <col min="36" max="37" width="15.625" style="91" hidden="1" customWidth="1"/>
    <col min="38" max="38" width="2.625" style="91" hidden="1" customWidth="1"/>
    <col min="39" max="40" width="10.625" style="91" hidden="1" customWidth="1"/>
    <col min="41" max="42" width="3.625" style="91" customWidth="1"/>
    <col min="43" max="48" width="4.625" style="91" customWidth="1"/>
    <col min="49" max="16384" width="9" style="91"/>
  </cols>
  <sheetData>
    <row r="1" spans="1:40" s="75" customFormat="1" ht="30" customHeight="1">
      <c r="A1" s="228" t="s">
        <v>141</v>
      </c>
      <c r="B1" s="228"/>
      <c r="C1" s="228"/>
      <c r="D1" s="228"/>
      <c r="E1" s="228"/>
      <c r="F1" s="228"/>
      <c r="G1" s="228"/>
      <c r="H1" s="228"/>
      <c r="I1" s="228"/>
      <c r="J1" s="228"/>
      <c r="K1" s="228"/>
      <c r="L1" s="228"/>
      <c r="M1" s="228"/>
      <c r="N1" s="228"/>
      <c r="O1" s="228"/>
      <c r="P1" s="228"/>
      <c r="Q1" s="228"/>
      <c r="R1" s="228"/>
      <c r="S1" s="228"/>
      <c r="T1" s="228"/>
      <c r="U1" s="228"/>
      <c r="V1" s="228"/>
      <c r="W1" s="228"/>
      <c r="X1" s="228"/>
      <c r="Y1" s="228"/>
      <c r="Z1" s="228"/>
    </row>
    <row r="2" spans="1:40" s="76" customFormat="1" ht="24.95" customHeight="1" thickBot="1"/>
    <row r="3" spans="1:40" s="76" customFormat="1" ht="21.95" customHeight="1" thickBot="1">
      <c r="A3" s="77" t="s">
        <v>5</v>
      </c>
      <c r="Q3" s="229" t="s">
        <v>37</v>
      </c>
      <c r="R3" s="230"/>
      <c r="S3" s="230"/>
      <c r="T3" s="231"/>
      <c r="U3" s="374" t="b">
        <f>IF(共通条件・結果!Z6="８地域","0.517",IF(共通条件・結果!Z6="７地域",0.479,IF(共通条件・結果!Z6="６地域",0.491,IF(共通条件・結果!Z6="５地域",0.52,IF(共通条件・結果!Z6="４地域",0.481,IF(共通条件・結果!Z6="３地域",0.55,IF(共通条件・結果!Z6="２地域",0.548,IF(共通条件・結果!Z6="１地域",0.526))))))))</f>
        <v>0</v>
      </c>
      <c r="V3" s="375"/>
      <c r="W3" s="374" t="b">
        <f>IF(共通条件・結果!Z6="８地域","-",IF(共通条件・結果!Z6="７地域",0.848,IF(共通条件・結果!Z6="６地域",0.763,IF(共通条件・結果!Z6="５地域",0.815,IF(共通条件・結果!Z6="４地域",0.723,IF(共通条件・結果!Z6="３地域",0.75,IF(共通条件・結果!Z6="２地域",0.753,IF(共通条件・結果!Z6="１地域",0.79))))))))</f>
        <v>0</v>
      </c>
      <c r="X3" s="375"/>
    </row>
    <row r="4" spans="1:40" s="76" customFormat="1" ht="21.95" customHeight="1">
      <c r="A4" s="236" t="s">
        <v>6</v>
      </c>
      <c r="B4" s="237"/>
      <c r="C4" s="237" t="s">
        <v>113</v>
      </c>
      <c r="D4" s="237"/>
      <c r="E4" s="237"/>
      <c r="F4" s="237"/>
      <c r="G4" s="237" t="s">
        <v>7</v>
      </c>
      <c r="H4" s="237"/>
      <c r="I4" s="254" t="s">
        <v>127</v>
      </c>
      <c r="J4" s="237"/>
      <c r="K4" s="254" t="s">
        <v>10</v>
      </c>
      <c r="L4" s="237"/>
      <c r="M4" s="262" t="s">
        <v>91</v>
      </c>
      <c r="N4" s="263"/>
      <c r="O4" s="263"/>
      <c r="P4" s="263"/>
      <c r="Q4" s="263"/>
      <c r="R4" s="263"/>
      <c r="S4" s="263"/>
      <c r="T4" s="263"/>
      <c r="U4" s="254" t="s">
        <v>86</v>
      </c>
      <c r="V4" s="237"/>
      <c r="W4" s="254" t="s">
        <v>87</v>
      </c>
      <c r="X4" s="237"/>
      <c r="Y4" s="237" t="s">
        <v>13</v>
      </c>
      <c r="Z4" s="256"/>
    </row>
    <row r="5" spans="1:40" s="76" customFormat="1" ht="21.95" customHeight="1">
      <c r="A5" s="238"/>
      <c r="B5" s="239"/>
      <c r="C5" s="242" t="s">
        <v>9</v>
      </c>
      <c r="D5" s="243"/>
      <c r="E5" s="246" t="s">
        <v>8</v>
      </c>
      <c r="F5" s="247"/>
      <c r="G5" s="239"/>
      <c r="H5" s="239"/>
      <c r="I5" s="255"/>
      <c r="J5" s="239"/>
      <c r="K5" s="255"/>
      <c r="L5" s="239"/>
      <c r="M5" s="250" t="s">
        <v>89</v>
      </c>
      <c r="N5" s="251"/>
      <c r="O5" s="259" t="s">
        <v>90</v>
      </c>
      <c r="P5" s="260"/>
      <c r="Q5" s="260"/>
      <c r="R5" s="260"/>
      <c r="S5" s="260"/>
      <c r="T5" s="261"/>
      <c r="U5" s="255"/>
      <c r="V5" s="239"/>
      <c r="W5" s="255"/>
      <c r="X5" s="239"/>
      <c r="Y5" s="239"/>
      <c r="Z5" s="257"/>
      <c r="AC5" s="264" t="s">
        <v>94</v>
      </c>
      <c r="AD5" s="264"/>
      <c r="AE5" s="78"/>
      <c r="AF5" s="78"/>
      <c r="AG5" s="264" t="s">
        <v>14</v>
      </c>
      <c r="AH5" s="264"/>
      <c r="AI5" s="78"/>
      <c r="AJ5" s="264" t="s">
        <v>95</v>
      </c>
      <c r="AK5" s="264"/>
      <c r="AM5" s="264" t="s">
        <v>110</v>
      </c>
      <c r="AN5" s="264"/>
    </row>
    <row r="6" spans="1:40" s="76" customFormat="1" ht="21.95" customHeight="1" thickBot="1">
      <c r="A6" s="240"/>
      <c r="B6" s="241"/>
      <c r="C6" s="244"/>
      <c r="D6" s="245"/>
      <c r="E6" s="248"/>
      <c r="F6" s="249"/>
      <c r="G6" s="241"/>
      <c r="H6" s="241"/>
      <c r="I6" s="241"/>
      <c r="J6" s="241"/>
      <c r="K6" s="241"/>
      <c r="L6" s="241"/>
      <c r="M6" s="252"/>
      <c r="N6" s="253"/>
      <c r="O6" s="249" t="s">
        <v>11</v>
      </c>
      <c r="P6" s="267"/>
      <c r="Q6" s="268" t="s">
        <v>12</v>
      </c>
      <c r="R6" s="269"/>
      <c r="S6" s="249" t="s">
        <v>3</v>
      </c>
      <c r="T6" s="267"/>
      <c r="U6" s="241"/>
      <c r="V6" s="241"/>
      <c r="W6" s="241"/>
      <c r="X6" s="241"/>
      <c r="Y6" s="241"/>
      <c r="Z6" s="258"/>
      <c r="AC6" s="78" t="s">
        <v>4</v>
      </c>
      <c r="AD6" s="78" t="s">
        <v>18</v>
      </c>
      <c r="AE6" s="78"/>
      <c r="AF6" s="78"/>
      <c r="AG6" s="78" t="s">
        <v>4</v>
      </c>
      <c r="AH6" s="78" t="s">
        <v>18</v>
      </c>
      <c r="AI6" s="78"/>
      <c r="AJ6" s="78" t="s">
        <v>4</v>
      </c>
      <c r="AK6" s="78" t="s">
        <v>18</v>
      </c>
      <c r="AM6" s="76" t="s">
        <v>108</v>
      </c>
      <c r="AN6" s="76" t="s">
        <v>106</v>
      </c>
    </row>
    <row r="7" spans="1:40" s="76" customFormat="1" ht="21.95" customHeight="1">
      <c r="A7" s="277"/>
      <c r="B7" s="278"/>
      <c r="C7" s="279"/>
      <c r="D7" s="280"/>
      <c r="E7" s="280"/>
      <c r="F7" s="281"/>
      <c r="G7" s="282"/>
      <c r="H7" s="282"/>
      <c r="I7" s="282"/>
      <c r="J7" s="282"/>
      <c r="K7" s="283"/>
      <c r="L7" s="283"/>
      <c r="M7" s="265"/>
      <c r="N7" s="371"/>
      <c r="O7" s="271"/>
      <c r="P7" s="272"/>
      <c r="Q7" s="273"/>
      <c r="R7" s="274"/>
      <c r="S7" s="275"/>
      <c r="T7" s="271"/>
      <c r="U7" s="270" t="str">
        <f>IF(C7="","",AC7)</f>
        <v/>
      </c>
      <c r="V7" s="270"/>
      <c r="W7" s="270" t="str">
        <f>IF(C7="","",IF(ISERROR(AD7),#VALUE!,AD7))</f>
        <v/>
      </c>
      <c r="X7" s="270"/>
      <c r="Y7" s="270" t="str">
        <f>IF(C7="","",C7*E7*AM7)</f>
        <v/>
      </c>
      <c r="Z7" s="276"/>
      <c r="AC7" s="76" t="e">
        <f>C7*E7*I7*$U$3*AG7</f>
        <v>#VALUE!</v>
      </c>
      <c r="AD7" s="76" t="e">
        <f>C7*E7*I7*$W$3*AH7</f>
        <v>#VALUE!</v>
      </c>
      <c r="AF7" s="79" t="b">
        <v>0</v>
      </c>
      <c r="AG7" s="76" t="str">
        <f>IF(AF7=TRUE,"0.93",IF(ISERROR(AJ7),"エラー",IF(AJ7&gt;0.93,"0.93",AJ7)))</f>
        <v>エラー</v>
      </c>
      <c r="AH7" s="76" t="str">
        <f>IF(AF7=TRUE,"0.51",IF(ISERROR(AK7),"エラー",IF(AK7&gt;0.72,"0.72",AK7)))</f>
        <v>エラー</v>
      </c>
      <c r="AJ7" s="76" t="e">
        <f>IF(共通条件・結果!$Z$6="８（Ⅵ）",0.01*(16+19*(2*Q7+S7)/O7),0.01*(16+24*(2*Q7+S7)/O7))</f>
        <v>#DIV/0!</v>
      </c>
      <c r="AK7" s="76" t="e">
        <f>0.01*(5+20*(3*Q7+S7)/O7)</f>
        <v>#DIV/0!</v>
      </c>
      <c r="AM7" s="76">
        <f>IF(共通条件・結果!$Z$6="８地域",G7,IF(AN7="FALSE",G7,IF(K7="風除室",1/((1/G7)+0.1),0.5*G7+0.5*(1/((1/G7)+AN7)))))</f>
        <v>0</v>
      </c>
      <c r="AN7" s="78" t="str">
        <f t="shared" ref="AN7:AN16" si="0">IF(K7="","FALSE",IF(K7="雨戸",0.1,IF(K7="ｼｬｯﾀｰ",0.1,IF(K7="障子",0.18,IF(K7="風除室",0.1)))))</f>
        <v>FALSE</v>
      </c>
    </row>
    <row r="8" spans="1:40" s="76" customFormat="1" ht="21.95" customHeight="1">
      <c r="A8" s="207"/>
      <c r="B8" s="208"/>
      <c r="C8" s="209"/>
      <c r="D8" s="210"/>
      <c r="E8" s="210"/>
      <c r="F8" s="211"/>
      <c r="G8" s="212"/>
      <c r="H8" s="212"/>
      <c r="I8" s="212"/>
      <c r="J8" s="212"/>
      <c r="K8" s="213" t="s">
        <v>85</v>
      </c>
      <c r="L8" s="213"/>
      <c r="M8" s="220"/>
      <c r="N8" s="370"/>
      <c r="O8" s="284"/>
      <c r="P8" s="222"/>
      <c r="Q8" s="285"/>
      <c r="R8" s="286"/>
      <c r="S8" s="225"/>
      <c r="T8" s="284"/>
      <c r="U8" s="205" t="str">
        <f t="shared" ref="U8:U16" si="1">IF(C8="","",AC8)</f>
        <v/>
      </c>
      <c r="V8" s="205"/>
      <c r="W8" s="205" t="str">
        <f t="shared" ref="W8:W16" si="2">IF(C8="","",IF(ISERROR(AD8),#VALUE!,AD8))</f>
        <v/>
      </c>
      <c r="X8" s="205"/>
      <c r="Y8" s="205" t="str">
        <f t="shared" ref="Y8:Y16" si="3">IF(C8="","",C8*E8*AM8)</f>
        <v/>
      </c>
      <c r="Z8" s="206"/>
      <c r="AC8" s="76" t="e">
        <f t="shared" ref="AC8:AC16" si="4">C8*E8*I8*$U$3*AG8</f>
        <v>#VALUE!</v>
      </c>
      <c r="AD8" s="76" t="e">
        <f t="shared" ref="AD8:AD16" si="5">C8*E8*I8*$W$3*AH8</f>
        <v>#VALUE!</v>
      </c>
      <c r="AF8" s="79" t="b">
        <v>0</v>
      </c>
      <c r="AG8" s="76" t="str">
        <f t="shared" ref="AG8:AG16" si="6">IF(AF8=TRUE,"0.93",IF(ISERROR(AJ8),"エラー",IF(AJ8&gt;0.93,"0.93",AJ8)))</f>
        <v>エラー</v>
      </c>
      <c r="AH8" s="76" t="str">
        <f t="shared" ref="AH8:AH16" si="7">IF(AF8=TRUE,"0.51",IF(ISERROR(AK8),"エラー",IF(AK8&gt;0.72,"0.72",AK8)))</f>
        <v>エラー</v>
      </c>
      <c r="AJ8" s="76" t="e">
        <f>IF(共通条件・結果!$Z$6="８（Ⅵ）",0.01*(16+19*(2*Q8+S8)/O8),0.01*(16+24*(2*Q8+S8)/O8))</f>
        <v>#DIV/0!</v>
      </c>
      <c r="AK8" s="76" t="e">
        <f t="shared" ref="AK8:AK16" si="8">0.01*(5+20*(3*Q8+S8)/O8)</f>
        <v>#DIV/0!</v>
      </c>
      <c r="AM8" s="76" t="e">
        <f>IF(共通条件・結果!$Z$6="８地域",G8,IF(AN8="FALSE",G8,IF(K8="風除室",1/((1/G8)+0.1),0.5*G8+0.5*(1/((1/G8)+AN8)))))</f>
        <v>#DIV/0!</v>
      </c>
      <c r="AN8" s="78" t="b">
        <f t="shared" si="0"/>
        <v>0</v>
      </c>
    </row>
    <row r="9" spans="1:40" s="76" customFormat="1" ht="21.95" customHeight="1">
      <c r="A9" s="207"/>
      <c r="B9" s="208"/>
      <c r="C9" s="209"/>
      <c r="D9" s="210"/>
      <c r="E9" s="210"/>
      <c r="F9" s="211"/>
      <c r="G9" s="212"/>
      <c r="H9" s="212"/>
      <c r="I9" s="212"/>
      <c r="J9" s="212"/>
      <c r="K9" s="213" t="s">
        <v>85</v>
      </c>
      <c r="L9" s="213"/>
      <c r="M9" s="220"/>
      <c r="N9" s="370"/>
      <c r="O9" s="222"/>
      <c r="P9" s="223"/>
      <c r="Q9" s="224"/>
      <c r="R9" s="223"/>
      <c r="S9" s="224"/>
      <c r="T9" s="225"/>
      <c r="U9" s="205" t="str">
        <f t="shared" si="1"/>
        <v/>
      </c>
      <c r="V9" s="205"/>
      <c r="W9" s="205" t="str">
        <f t="shared" si="2"/>
        <v/>
      </c>
      <c r="X9" s="205"/>
      <c r="Y9" s="205" t="str">
        <f t="shared" si="3"/>
        <v/>
      </c>
      <c r="Z9" s="206"/>
      <c r="AC9" s="76" t="e">
        <f t="shared" si="4"/>
        <v>#VALUE!</v>
      </c>
      <c r="AD9" s="76" t="e">
        <f t="shared" si="5"/>
        <v>#VALUE!</v>
      </c>
      <c r="AF9" s="79" t="b">
        <v>0</v>
      </c>
      <c r="AG9" s="76" t="str">
        <f t="shared" si="6"/>
        <v>エラー</v>
      </c>
      <c r="AH9" s="76" t="str">
        <f t="shared" si="7"/>
        <v>エラー</v>
      </c>
      <c r="AJ9" s="76" t="e">
        <f>IF(共通条件・結果!$Z$6="８（Ⅵ）",0.01*(16+19*(2*Q9+S9)/O9),0.01*(16+24*(2*Q9+S9)/O9))</f>
        <v>#DIV/0!</v>
      </c>
      <c r="AK9" s="76" t="e">
        <f t="shared" si="8"/>
        <v>#DIV/0!</v>
      </c>
      <c r="AM9" s="76" t="e">
        <f>IF(共通条件・結果!$Z$6="８地域",G9,IF(AN9="FALSE",G9,IF(K9="風除室",1/((1/G9)+0.1),0.5*G9+0.5*(1/((1/G9)+AN9)))))</f>
        <v>#DIV/0!</v>
      </c>
      <c r="AN9" s="78" t="b">
        <f t="shared" si="0"/>
        <v>0</v>
      </c>
    </row>
    <row r="10" spans="1:40" s="76" customFormat="1" ht="21.95" customHeight="1">
      <c r="A10" s="207"/>
      <c r="B10" s="208"/>
      <c r="C10" s="209"/>
      <c r="D10" s="210"/>
      <c r="E10" s="210"/>
      <c r="F10" s="211"/>
      <c r="G10" s="212"/>
      <c r="H10" s="212"/>
      <c r="I10" s="212"/>
      <c r="J10" s="212"/>
      <c r="K10" s="213" t="s">
        <v>85</v>
      </c>
      <c r="L10" s="213"/>
      <c r="M10" s="220"/>
      <c r="N10" s="370"/>
      <c r="O10" s="222"/>
      <c r="P10" s="223"/>
      <c r="Q10" s="224"/>
      <c r="R10" s="223"/>
      <c r="S10" s="224"/>
      <c r="T10" s="225"/>
      <c r="U10" s="205" t="str">
        <f t="shared" si="1"/>
        <v/>
      </c>
      <c r="V10" s="205"/>
      <c r="W10" s="205" t="str">
        <f t="shared" si="2"/>
        <v/>
      </c>
      <c r="X10" s="205"/>
      <c r="Y10" s="205" t="str">
        <f t="shared" si="3"/>
        <v/>
      </c>
      <c r="Z10" s="206"/>
      <c r="AC10" s="76" t="e">
        <f t="shared" si="4"/>
        <v>#VALUE!</v>
      </c>
      <c r="AD10" s="76" t="e">
        <f t="shared" si="5"/>
        <v>#VALUE!</v>
      </c>
      <c r="AF10" s="79" t="b">
        <v>0</v>
      </c>
      <c r="AG10" s="76" t="str">
        <f t="shared" si="6"/>
        <v>エラー</v>
      </c>
      <c r="AH10" s="76" t="str">
        <f t="shared" si="7"/>
        <v>エラー</v>
      </c>
      <c r="AJ10" s="76" t="e">
        <f>IF(共通条件・結果!$Z$6="８（Ⅵ）",0.01*(16+19*(2*Q10+S10)/O10),0.01*(16+24*(2*Q10+S10)/O10))</f>
        <v>#DIV/0!</v>
      </c>
      <c r="AK10" s="76" t="e">
        <f t="shared" si="8"/>
        <v>#DIV/0!</v>
      </c>
      <c r="AM10" s="76" t="e">
        <f>IF(共通条件・結果!$Z$6="８地域",G10,IF(AN10="FALSE",G10,IF(K10="風除室",1/((1/G10)+0.1),0.5*G10+0.5*(1/((1/G10)+AN10)))))</f>
        <v>#DIV/0!</v>
      </c>
      <c r="AN10" s="78" t="b">
        <f t="shared" si="0"/>
        <v>0</v>
      </c>
    </row>
    <row r="11" spans="1:40" s="76" customFormat="1" ht="21.95" customHeight="1">
      <c r="A11" s="207"/>
      <c r="B11" s="208"/>
      <c r="C11" s="209"/>
      <c r="D11" s="210"/>
      <c r="E11" s="210"/>
      <c r="F11" s="211"/>
      <c r="G11" s="212"/>
      <c r="H11" s="212"/>
      <c r="I11" s="212"/>
      <c r="J11" s="212"/>
      <c r="K11" s="213" t="s">
        <v>85</v>
      </c>
      <c r="L11" s="213"/>
      <c r="M11" s="220"/>
      <c r="N11" s="370"/>
      <c r="O11" s="222"/>
      <c r="P11" s="223"/>
      <c r="Q11" s="224"/>
      <c r="R11" s="223"/>
      <c r="S11" s="224"/>
      <c r="T11" s="225"/>
      <c r="U11" s="205" t="str">
        <f t="shared" si="1"/>
        <v/>
      </c>
      <c r="V11" s="205"/>
      <c r="W11" s="205" t="str">
        <f t="shared" si="2"/>
        <v/>
      </c>
      <c r="X11" s="205"/>
      <c r="Y11" s="205" t="str">
        <f t="shared" si="3"/>
        <v/>
      </c>
      <c r="Z11" s="206"/>
      <c r="AC11" s="76" t="e">
        <f t="shared" si="4"/>
        <v>#VALUE!</v>
      </c>
      <c r="AD11" s="76" t="e">
        <f t="shared" si="5"/>
        <v>#VALUE!</v>
      </c>
      <c r="AF11" s="79" t="b">
        <v>0</v>
      </c>
      <c r="AG11" s="76" t="str">
        <f t="shared" si="6"/>
        <v>エラー</v>
      </c>
      <c r="AH11" s="76" t="str">
        <f t="shared" si="7"/>
        <v>エラー</v>
      </c>
      <c r="AJ11" s="76" t="e">
        <f>IF(共通条件・結果!$Z$6="８（Ⅵ）",0.01*(16+19*(2*Q11+S11)/O11),0.01*(16+24*(2*Q11+S11)/O11))</f>
        <v>#DIV/0!</v>
      </c>
      <c r="AK11" s="76" t="e">
        <f t="shared" si="8"/>
        <v>#DIV/0!</v>
      </c>
      <c r="AM11" s="76" t="e">
        <f>IF(共通条件・結果!$Z$6="８地域",G11,IF(AN11="FALSE",G11,IF(K11="風除室",1/((1/G11)+0.1),0.5*G11+0.5*(1/((1/G11)+AN11)))))</f>
        <v>#DIV/0!</v>
      </c>
      <c r="AN11" s="78" t="b">
        <f t="shared" si="0"/>
        <v>0</v>
      </c>
    </row>
    <row r="12" spans="1:40" s="76" customFormat="1" ht="21.95" customHeight="1">
      <c r="A12" s="207"/>
      <c r="B12" s="208"/>
      <c r="C12" s="209"/>
      <c r="D12" s="210"/>
      <c r="E12" s="210"/>
      <c r="F12" s="211"/>
      <c r="G12" s="212"/>
      <c r="H12" s="212"/>
      <c r="I12" s="212"/>
      <c r="J12" s="212"/>
      <c r="K12" s="213" t="s">
        <v>85</v>
      </c>
      <c r="L12" s="213"/>
      <c r="M12" s="220"/>
      <c r="N12" s="370"/>
      <c r="O12" s="222"/>
      <c r="P12" s="223"/>
      <c r="Q12" s="224"/>
      <c r="R12" s="223"/>
      <c r="S12" s="224"/>
      <c r="T12" s="225"/>
      <c r="U12" s="226" t="str">
        <f t="shared" si="1"/>
        <v/>
      </c>
      <c r="V12" s="227"/>
      <c r="W12" s="205" t="str">
        <f t="shared" si="2"/>
        <v/>
      </c>
      <c r="X12" s="205"/>
      <c r="Y12" s="205" t="str">
        <f t="shared" si="3"/>
        <v/>
      </c>
      <c r="Z12" s="206"/>
      <c r="AC12" s="76" t="e">
        <f t="shared" si="4"/>
        <v>#VALUE!</v>
      </c>
      <c r="AD12" s="76" t="e">
        <f t="shared" si="5"/>
        <v>#VALUE!</v>
      </c>
      <c r="AF12" s="79" t="b">
        <v>0</v>
      </c>
      <c r="AG12" s="76" t="str">
        <f t="shared" si="6"/>
        <v>エラー</v>
      </c>
      <c r="AH12" s="76" t="str">
        <f t="shared" si="7"/>
        <v>エラー</v>
      </c>
      <c r="AJ12" s="76" t="e">
        <f>IF(共通条件・結果!$Z$6="８（Ⅵ）",0.01*(16+19*(2*Q12+S12)/O12),0.01*(16+24*(2*Q12+S12)/O12))</f>
        <v>#DIV/0!</v>
      </c>
      <c r="AK12" s="76" t="e">
        <f t="shared" si="8"/>
        <v>#DIV/0!</v>
      </c>
      <c r="AM12" s="76" t="e">
        <f>IF(共通条件・結果!$Z$6="８地域",G12,IF(AN12="FALSE",G12,IF(K12="風除室",1/((1/G12)+0.1),0.5*G12+0.5*(1/((1/G12)+AN12)))))</f>
        <v>#DIV/0!</v>
      </c>
      <c r="AN12" s="78" t="b">
        <f t="shared" si="0"/>
        <v>0</v>
      </c>
    </row>
    <row r="13" spans="1:40" s="76" customFormat="1" ht="21.95" customHeight="1">
      <c r="A13" s="207"/>
      <c r="B13" s="208"/>
      <c r="C13" s="209"/>
      <c r="D13" s="210"/>
      <c r="E13" s="210"/>
      <c r="F13" s="211"/>
      <c r="G13" s="212"/>
      <c r="H13" s="212"/>
      <c r="I13" s="212"/>
      <c r="J13" s="212"/>
      <c r="K13" s="213" t="s">
        <v>85</v>
      </c>
      <c r="L13" s="213"/>
      <c r="M13" s="220"/>
      <c r="N13" s="370"/>
      <c r="O13" s="222"/>
      <c r="P13" s="223"/>
      <c r="Q13" s="224"/>
      <c r="R13" s="223"/>
      <c r="S13" s="224"/>
      <c r="T13" s="225"/>
      <c r="U13" s="226" t="str">
        <f t="shared" si="1"/>
        <v/>
      </c>
      <c r="V13" s="227"/>
      <c r="W13" s="205" t="str">
        <f t="shared" si="2"/>
        <v/>
      </c>
      <c r="X13" s="205"/>
      <c r="Y13" s="205" t="str">
        <f t="shared" si="3"/>
        <v/>
      </c>
      <c r="Z13" s="206"/>
      <c r="AC13" s="76" t="e">
        <f t="shared" si="4"/>
        <v>#VALUE!</v>
      </c>
      <c r="AD13" s="76" t="e">
        <f t="shared" si="5"/>
        <v>#VALUE!</v>
      </c>
      <c r="AF13" s="79" t="b">
        <v>0</v>
      </c>
      <c r="AG13" s="76" t="str">
        <f t="shared" si="6"/>
        <v>エラー</v>
      </c>
      <c r="AH13" s="76" t="str">
        <f t="shared" si="7"/>
        <v>エラー</v>
      </c>
      <c r="AJ13" s="76" t="e">
        <f>IF(共通条件・結果!$Z$6="８（Ⅵ）",0.01*(16+19*(2*Q13+S13)/O13),0.01*(16+24*(2*Q13+S13)/O13))</f>
        <v>#DIV/0!</v>
      </c>
      <c r="AK13" s="76" t="e">
        <f t="shared" si="8"/>
        <v>#DIV/0!</v>
      </c>
      <c r="AM13" s="76" t="e">
        <f>IF(共通条件・結果!$Z$6="８地域",G13,IF(AN13="FALSE",G13,IF(K13="風除室",1/((1/G13)+0.1),0.5*G13+0.5*(1/((1/G13)+AN13)))))</f>
        <v>#DIV/0!</v>
      </c>
      <c r="AN13" s="78" t="b">
        <f t="shared" si="0"/>
        <v>0</v>
      </c>
    </row>
    <row r="14" spans="1:40" s="76" customFormat="1" ht="21.95" customHeight="1">
      <c r="A14" s="207"/>
      <c r="B14" s="208"/>
      <c r="C14" s="209"/>
      <c r="D14" s="210"/>
      <c r="E14" s="210"/>
      <c r="F14" s="211"/>
      <c r="G14" s="212"/>
      <c r="H14" s="212"/>
      <c r="I14" s="212"/>
      <c r="J14" s="212"/>
      <c r="K14" s="213" t="s">
        <v>85</v>
      </c>
      <c r="L14" s="213"/>
      <c r="M14" s="220"/>
      <c r="N14" s="370"/>
      <c r="O14" s="284"/>
      <c r="P14" s="222"/>
      <c r="Q14" s="224"/>
      <c r="R14" s="223"/>
      <c r="S14" s="224"/>
      <c r="T14" s="225"/>
      <c r="U14" s="226" t="str">
        <f t="shared" si="1"/>
        <v/>
      </c>
      <c r="V14" s="227"/>
      <c r="W14" s="205" t="str">
        <f t="shared" si="2"/>
        <v/>
      </c>
      <c r="X14" s="205"/>
      <c r="Y14" s="205" t="str">
        <f t="shared" si="3"/>
        <v/>
      </c>
      <c r="Z14" s="206"/>
      <c r="AC14" s="76" t="e">
        <f t="shared" si="4"/>
        <v>#VALUE!</v>
      </c>
      <c r="AD14" s="76" t="e">
        <f t="shared" si="5"/>
        <v>#VALUE!</v>
      </c>
      <c r="AF14" s="79" t="b">
        <v>0</v>
      </c>
      <c r="AG14" s="76" t="str">
        <f t="shared" si="6"/>
        <v>エラー</v>
      </c>
      <c r="AH14" s="76" t="str">
        <f t="shared" si="7"/>
        <v>エラー</v>
      </c>
      <c r="AJ14" s="76" t="e">
        <f>IF(共通条件・結果!$Z$6="８（Ⅵ）",0.01*(16+19*(2*Q14+S14)/O14),0.01*(16+24*(2*Q14+S14)/O14))</f>
        <v>#DIV/0!</v>
      </c>
      <c r="AK14" s="76" t="e">
        <f t="shared" si="8"/>
        <v>#DIV/0!</v>
      </c>
      <c r="AM14" s="76" t="e">
        <f>IF(共通条件・結果!$Z$6="８地域",G14,IF(AN14="FALSE",G14,IF(K14="風除室",1/((1/G14)+0.1),0.5*G14+0.5*(1/((1/G14)+AN14)))))</f>
        <v>#DIV/0!</v>
      </c>
      <c r="AN14" s="78" t="b">
        <f t="shared" si="0"/>
        <v>0</v>
      </c>
    </row>
    <row r="15" spans="1:40" s="76" customFormat="1" ht="21.95" customHeight="1">
      <c r="A15" s="207"/>
      <c r="B15" s="208"/>
      <c r="C15" s="209"/>
      <c r="D15" s="210"/>
      <c r="E15" s="210"/>
      <c r="F15" s="211"/>
      <c r="G15" s="212"/>
      <c r="H15" s="212"/>
      <c r="I15" s="212"/>
      <c r="J15" s="212"/>
      <c r="K15" s="213" t="s">
        <v>85</v>
      </c>
      <c r="L15" s="213"/>
      <c r="M15" s="220"/>
      <c r="N15" s="370"/>
      <c r="O15" s="284"/>
      <c r="P15" s="222"/>
      <c r="Q15" s="285"/>
      <c r="R15" s="286"/>
      <c r="S15" s="225"/>
      <c r="T15" s="284"/>
      <c r="U15" s="226" t="str">
        <f t="shared" si="1"/>
        <v/>
      </c>
      <c r="V15" s="227"/>
      <c r="W15" s="205" t="str">
        <f t="shared" si="2"/>
        <v/>
      </c>
      <c r="X15" s="205"/>
      <c r="Y15" s="205" t="str">
        <f t="shared" si="3"/>
        <v/>
      </c>
      <c r="Z15" s="206"/>
      <c r="AC15" s="76" t="e">
        <f t="shared" si="4"/>
        <v>#VALUE!</v>
      </c>
      <c r="AD15" s="76" t="e">
        <f t="shared" si="5"/>
        <v>#VALUE!</v>
      </c>
      <c r="AF15" s="79" t="b">
        <v>0</v>
      </c>
      <c r="AG15" s="76" t="str">
        <f t="shared" si="6"/>
        <v>エラー</v>
      </c>
      <c r="AH15" s="76" t="str">
        <f t="shared" si="7"/>
        <v>エラー</v>
      </c>
      <c r="AJ15" s="76" t="e">
        <f>IF(共通条件・結果!$Z$6="８（Ⅵ）",0.01*(16+19*(2*Q15+S15)/O15),0.01*(16+24*(2*Q15+S15)/O15))</f>
        <v>#DIV/0!</v>
      </c>
      <c r="AK15" s="76" t="e">
        <f t="shared" si="8"/>
        <v>#DIV/0!</v>
      </c>
      <c r="AM15" s="76" t="e">
        <f>IF(共通条件・結果!$Z$6="８地域",G15,IF(AN15="FALSE",G15,IF(K15="風除室",1/((1/G15)+0.1),0.5*G15+0.5*(1/((1/G15)+AN15)))))</f>
        <v>#DIV/0!</v>
      </c>
      <c r="AN15" s="78" t="b">
        <f t="shared" si="0"/>
        <v>0</v>
      </c>
    </row>
    <row r="16" spans="1:40" s="76" customFormat="1" ht="21.95" customHeight="1" thickBot="1">
      <c r="A16" s="306"/>
      <c r="B16" s="307"/>
      <c r="C16" s="308"/>
      <c r="D16" s="295"/>
      <c r="E16" s="295"/>
      <c r="F16" s="296"/>
      <c r="G16" s="294"/>
      <c r="H16" s="294"/>
      <c r="I16" s="294"/>
      <c r="J16" s="294"/>
      <c r="K16" s="283" t="s">
        <v>85</v>
      </c>
      <c r="L16" s="283"/>
      <c r="M16" s="287"/>
      <c r="N16" s="369"/>
      <c r="O16" s="289"/>
      <c r="P16" s="290"/>
      <c r="Q16" s="291"/>
      <c r="R16" s="292"/>
      <c r="S16" s="293"/>
      <c r="T16" s="289"/>
      <c r="U16" s="226" t="str">
        <f t="shared" si="1"/>
        <v/>
      </c>
      <c r="V16" s="227"/>
      <c r="W16" s="205" t="str">
        <f t="shared" si="2"/>
        <v/>
      </c>
      <c r="X16" s="205"/>
      <c r="Y16" s="300" t="str">
        <f t="shared" si="3"/>
        <v/>
      </c>
      <c r="Z16" s="301"/>
      <c r="AC16" s="76" t="e">
        <f t="shared" si="4"/>
        <v>#VALUE!</v>
      </c>
      <c r="AD16" s="76" t="e">
        <f t="shared" si="5"/>
        <v>#VALUE!</v>
      </c>
      <c r="AF16" s="79" t="b">
        <v>0</v>
      </c>
      <c r="AG16" s="76" t="str">
        <f t="shared" si="6"/>
        <v>エラー</v>
      </c>
      <c r="AH16" s="76" t="str">
        <f t="shared" si="7"/>
        <v>エラー</v>
      </c>
      <c r="AJ16" s="76" t="e">
        <f>IF(共通条件・結果!$Z$6="８（Ⅵ）",0.01*(16+19*(2*Q16+S16)/O16),0.01*(16+24*(2*Q16+S16)/O16))</f>
        <v>#DIV/0!</v>
      </c>
      <c r="AK16" s="76" t="e">
        <f t="shared" si="8"/>
        <v>#DIV/0!</v>
      </c>
      <c r="AM16" s="76" t="e">
        <f>IF(共通条件・結果!$Z$6="８地域",G16,IF(AN16="FALSE",G16,IF(K16="風除室",1/((1/G16)+0.1),0.5*G16+0.5*(1/((1/G16)+AN16)))))</f>
        <v>#DIV/0!</v>
      </c>
      <c r="AN16" s="78" t="b">
        <f t="shared" si="0"/>
        <v>0</v>
      </c>
    </row>
    <row r="17" spans="1:40" s="76" customFormat="1" ht="21.95" customHeight="1" thickBot="1">
      <c r="A17" s="302" t="s">
        <v>159</v>
      </c>
      <c r="B17" s="303"/>
      <c r="C17" s="303"/>
      <c r="D17" s="303"/>
      <c r="E17" s="303"/>
      <c r="F17" s="303"/>
      <c r="G17" s="303"/>
      <c r="H17" s="303"/>
      <c r="I17" s="303"/>
      <c r="J17" s="303"/>
      <c r="K17" s="303"/>
      <c r="L17" s="303"/>
      <c r="M17" s="303"/>
      <c r="N17" s="303"/>
      <c r="O17" s="303"/>
      <c r="P17" s="303"/>
      <c r="Q17" s="303"/>
      <c r="R17" s="303"/>
      <c r="S17" s="303"/>
      <c r="T17" s="303"/>
      <c r="U17" s="304">
        <f>SUM(U7:V16)</f>
        <v>0</v>
      </c>
      <c r="V17" s="304"/>
      <c r="W17" s="304">
        <f>SUM(W7:X16)</f>
        <v>0</v>
      </c>
      <c r="X17" s="304"/>
      <c r="Y17" s="304">
        <f>SUM(Y7:Z16)</f>
        <v>0</v>
      </c>
      <c r="Z17" s="305"/>
    </row>
    <row r="18" spans="1:40" s="76" customFormat="1" ht="9.9499999999999993" customHeight="1">
      <c r="AM18" s="264"/>
      <c r="AN18" s="264"/>
    </row>
    <row r="19" spans="1:40" s="76" customFormat="1" ht="21.95" customHeight="1" thickBot="1">
      <c r="I19" s="77" t="s">
        <v>15</v>
      </c>
      <c r="J19" s="77"/>
      <c r="K19" s="77"/>
    </row>
    <row r="20" spans="1:40" s="76" customFormat="1" ht="21.95" customHeight="1">
      <c r="I20" s="352" t="s">
        <v>16</v>
      </c>
      <c r="J20" s="356"/>
      <c r="K20" s="356"/>
      <c r="L20" s="353"/>
      <c r="M20" s="237" t="s">
        <v>113</v>
      </c>
      <c r="N20" s="237"/>
      <c r="O20" s="237"/>
      <c r="P20" s="237"/>
      <c r="Q20" s="237" t="s">
        <v>7</v>
      </c>
      <c r="R20" s="237"/>
      <c r="S20" s="366" t="s">
        <v>10</v>
      </c>
      <c r="T20" s="367"/>
      <c r="U20" s="254" t="s">
        <v>88</v>
      </c>
      <c r="V20" s="237"/>
      <c r="W20" s="254" t="s">
        <v>87</v>
      </c>
      <c r="X20" s="237"/>
      <c r="Y20" s="237" t="s">
        <v>13</v>
      </c>
      <c r="Z20" s="256"/>
      <c r="AM20" s="264" t="s">
        <v>110</v>
      </c>
      <c r="AN20" s="264"/>
    </row>
    <row r="21" spans="1:40" s="76" customFormat="1" ht="21.95" customHeight="1" thickBot="1">
      <c r="I21" s="354"/>
      <c r="J21" s="248"/>
      <c r="K21" s="248"/>
      <c r="L21" s="249"/>
      <c r="M21" s="297" t="s">
        <v>9</v>
      </c>
      <c r="N21" s="298"/>
      <c r="O21" s="299" t="s">
        <v>8</v>
      </c>
      <c r="P21" s="241"/>
      <c r="Q21" s="241"/>
      <c r="R21" s="241"/>
      <c r="S21" s="368"/>
      <c r="T21" s="368"/>
      <c r="U21" s="241"/>
      <c r="V21" s="241"/>
      <c r="W21" s="241"/>
      <c r="X21" s="241"/>
      <c r="Y21" s="241"/>
      <c r="Z21" s="258"/>
      <c r="AM21" s="76" t="s">
        <v>108</v>
      </c>
      <c r="AN21" s="76" t="s">
        <v>106</v>
      </c>
    </row>
    <row r="22" spans="1:40" s="76" customFormat="1" ht="21.95" customHeight="1">
      <c r="B22" s="80"/>
      <c r="C22" s="80"/>
      <c r="D22" s="80"/>
      <c r="E22" s="80"/>
      <c r="F22" s="80"/>
      <c r="G22" s="80"/>
      <c r="H22" s="80"/>
      <c r="I22" s="218"/>
      <c r="J22" s="357"/>
      <c r="K22" s="357"/>
      <c r="L22" s="219"/>
      <c r="M22" s="279"/>
      <c r="N22" s="280"/>
      <c r="O22" s="280"/>
      <c r="P22" s="281"/>
      <c r="Q22" s="338"/>
      <c r="R22" s="338"/>
      <c r="S22" s="283"/>
      <c r="T22" s="283"/>
      <c r="U22" s="300" t="str">
        <f>IF(M22="","",M22*O22*Q22*0.034*$U$3)</f>
        <v/>
      </c>
      <c r="V22" s="300"/>
      <c r="W22" s="300" t="str">
        <f>IF(M22="","",IF(ISERROR(M22*O22*Q22*0.034*$W$3),"-",M22*O22*Q22*0.034*$W$3))</f>
        <v/>
      </c>
      <c r="X22" s="300"/>
      <c r="Y22" s="300" t="str">
        <f>IF(M22="","",M22*O22*AM22)</f>
        <v/>
      </c>
      <c r="Z22" s="301"/>
      <c r="AM22" s="76">
        <f>IF(共通条件・結果!$Z$6="８地域",Q22,IF(AN22="FALSE",Q22,IF(S22="風除室",1/((1/Q22)+0.1),0.5*Q22+0.5*(1/((1/Q22)+AN22)))))</f>
        <v>0</v>
      </c>
      <c r="AN22" s="78" t="str">
        <f>IF(S22="","FALSE",IF(S22="雨戸",0.1,IF(S22="ｼｬｯﾀｰ",0.1,IF(S22="障子",0.18,IF(S22="風除室",0.1)))))</f>
        <v>FALSE</v>
      </c>
    </row>
    <row r="23" spans="1:40" s="76" customFormat="1" ht="21.95" customHeight="1" thickBot="1">
      <c r="B23" s="80"/>
      <c r="C23" s="80"/>
      <c r="D23" s="80"/>
      <c r="E23" s="80"/>
      <c r="F23" s="80"/>
      <c r="G23" s="80"/>
      <c r="H23" s="80"/>
      <c r="I23" s="214"/>
      <c r="J23" s="358"/>
      <c r="K23" s="358"/>
      <c r="L23" s="215"/>
      <c r="M23" s="308"/>
      <c r="N23" s="295"/>
      <c r="O23" s="295"/>
      <c r="P23" s="296"/>
      <c r="Q23" s="294"/>
      <c r="R23" s="294"/>
      <c r="S23" s="213" t="s">
        <v>85</v>
      </c>
      <c r="T23" s="213"/>
      <c r="U23" s="350" t="str">
        <f>IF(M23="","",M23*O23*Q23*0.034*$U$3)</f>
        <v/>
      </c>
      <c r="V23" s="350"/>
      <c r="W23" s="350" t="str">
        <f>IF(M23="","",IF(ISERROR(M23*O23*Q23*0.034*$W$3),"-",M23*O23*Q23*0.034*$W$3))</f>
        <v/>
      </c>
      <c r="X23" s="350"/>
      <c r="Y23" s="350" t="str">
        <f>IF(M23="","",M23*O23*AM23)</f>
        <v/>
      </c>
      <c r="Z23" s="351"/>
      <c r="AM23" s="76" t="e">
        <f>IF(共通条件・結果!$Z$6="８地域",Q23,IF(AN23="FALSE",Q23,IF(S23="風除室",1/((1/Q23)+0.1),0.5*Q23+0.5*(1/((1/Q23)+AN23)))))</f>
        <v>#DIV/0!</v>
      </c>
      <c r="AN23" s="78" t="b">
        <f>IF(S23="","FALSE",IF(S23="雨戸",0.1,IF(S23="ｼｬｯﾀｰ",0.1,IF(S23="障子",0.18,IF(S23="風除室",0.1)))))</f>
        <v>0</v>
      </c>
    </row>
    <row r="24" spans="1:40" s="76" customFormat="1" ht="21.95" customHeight="1" thickBot="1">
      <c r="B24" s="80"/>
      <c r="C24" s="80"/>
      <c r="D24" s="80"/>
      <c r="E24" s="80"/>
      <c r="F24" s="80"/>
      <c r="G24" s="80"/>
      <c r="H24" s="80"/>
      <c r="I24" s="302" t="s">
        <v>177</v>
      </c>
      <c r="J24" s="303"/>
      <c r="K24" s="303"/>
      <c r="L24" s="303"/>
      <c r="M24" s="303"/>
      <c r="N24" s="303"/>
      <c r="O24" s="303"/>
      <c r="P24" s="303"/>
      <c r="Q24" s="303"/>
      <c r="R24" s="303"/>
      <c r="S24" s="303"/>
      <c r="T24" s="355"/>
      <c r="U24" s="304">
        <f>SUM(U22:V23)</f>
        <v>0</v>
      </c>
      <c r="V24" s="304"/>
      <c r="W24" s="304">
        <f>SUM(W22:X23)</f>
        <v>0</v>
      </c>
      <c r="X24" s="304"/>
      <c r="Y24" s="304">
        <f>SUM(Y22:Z23)</f>
        <v>0</v>
      </c>
      <c r="Z24" s="305"/>
      <c r="AN24" s="78"/>
    </row>
    <row r="25" spans="1:40" s="76" customFormat="1" ht="9.9499999999999993" customHeight="1">
      <c r="B25" s="80"/>
      <c r="C25" s="80"/>
      <c r="D25" s="80"/>
      <c r="E25" s="80"/>
      <c r="F25" s="80"/>
      <c r="G25" s="80"/>
      <c r="H25" s="80"/>
      <c r="I25" s="80"/>
      <c r="AN25" s="78"/>
    </row>
    <row r="26" spans="1:40" s="76" customFormat="1" ht="21.95" customHeight="1" thickBot="1">
      <c r="B26" s="80"/>
      <c r="C26" s="80"/>
      <c r="D26" s="80"/>
      <c r="E26" s="80"/>
      <c r="F26" s="80"/>
      <c r="G26" s="80"/>
      <c r="H26" s="80"/>
      <c r="I26" s="77" t="s">
        <v>17</v>
      </c>
      <c r="J26" s="77"/>
      <c r="K26" s="77"/>
      <c r="AN26" s="78"/>
    </row>
    <row r="27" spans="1:40" s="76" customFormat="1" ht="21.95" customHeight="1">
      <c r="B27" s="80"/>
      <c r="C27" s="80"/>
      <c r="D27" s="80"/>
      <c r="E27" s="80"/>
      <c r="F27" s="80"/>
      <c r="G27" s="80"/>
      <c r="H27" s="80"/>
      <c r="I27" s="352" t="s">
        <v>0</v>
      </c>
      <c r="J27" s="353"/>
      <c r="K27" s="363" t="s">
        <v>62</v>
      </c>
      <c r="L27" s="364"/>
      <c r="M27" s="363" t="s">
        <v>200</v>
      </c>
      <c r="N27" s="364"/>
      <c r="O27" s="339" t="s">
        <v>63</v>
      </c>
      <c r="P27" s="340"/>
      <c r="Q27" s="237" t="s">
        <v>7</v>
      </c>
      <c r="R27" s="237"/>
      <c r="S27" s="359" t="s">
        <v>180</v>
      </c>
      <c r="T27" s="360"/>
      <c r="U27" s="254" t="s">
        <v>88</v>
      </c>
      <c r="V27" s="237"/>
      <c r="W27" s="254" t="s">
        <v>87</v>
      </c>
      <c r="X27" s="237"/>
      <c r="Y27" s="237" t="s">
        <v>13</v>
      </c>
      <c r="Z27" s="256"/>
      <c r="AN27" s="78"/>
    </row>
    <row r="28" spans="1:40" s="76" customFormat="1" ht="21.95" customHeight="1" thickBot="1">
      <c r="B28" s="80"/>
      <c r="C28" s="80"/>
      <c r="D28" s="80"/>
      <c r="E28" s="80"/>
      <c r="F28" s="80"/>
      <c r="G28" s="80"/>
      <c r="H28" s="80"/>
      <c r="I28" s="354"/>
      <c r="J28" s="249"/>
      <c r="K28" s="252"/>
      <c r="L28" s="365"/>
      <c r="M28" s="252"/>
      <c r="N28" s="365"/>
      <c r="O28" s="341"/>
      <c r="P28" s="342"/>
      <c r="Q28" s="241"/>
      <c r="R28" s="241"/>
      <c r="S28" s="361"/>
      <c r="T28" s="362"/>
      <c r="U28" s="241"/>
      <c r="V28" s="241"/>
      <c r="W28" s="241"/>
      <c r="X28" s="241"/>
      <c r="Y28" s="241"/>
      <c r="Z28" s="258"/>
      <c r="AD28" s="76" t="s">
        <v>170</v>
      </c>
      <c r="AE28" s="76" t="s">
        <v>171</v>
      </c>
    </row>
    <row r="29" spans="1:40" s="76" customFormat="1" ht="21.95" customHeight="1">
      <c r="B29" s="80"/>
      <c r="C29" s="80"/>
      <c r="D29" s="80"/>
      <c r="E29" s="80"/>
      <c r="F29" s="80"/>
      <c r="G29" s="80"/>
      <c r="H29" s="80"/>
      <c r="I29" s="218"/>
      <c r="J29" s="219"/>
      <c r="K29" s="334"/>
      <c r="L29" s="335"/>
      <c r="M29" s="334"/>
      <c r="N29" s="335"/>
      <c r="O29" s="336" t="str">
        <f>IF(K29="","",K29-M29)</f>
        <v/>
      </c>
      <c r="P29" s="337"/>
      <c r="Q29" s="338"/>
      <c r="R29" s="338"/>
      <c r="S29" s="338"/>
      <c r="T29" s="338"/>
      <c r="U29" s="205" t="str">
        <f>IF(O29="","",IF(AC29=TRUE,0,O29*Q29*0.034*$U$3))</f>
        <v/>
      </c>
      <c r="V29" s="205"/>
      <c r="W29" s="226" t="str">
        <f>IF(O29="","",IF(ISERROR(O29*Q29*0.034*$W$3),"-",IF(AC29=TRUE,0,O29*Q29*0.034*$W$3)))</f>
        <v/>
      </c>
      <c r="X29" s="227"/>
      <c r="Y29" s="270" t="str">
        <f>IF(Q29="","",IF(AC29=TRUE,0.7*Q29*O29,Q29*O29))</f>
        <v/>
      </c>
      <c r="Z29" s="276"/>
      <c r="AC29" s="79" t="b">
        <v>0</v>
      </c>
      <c r="AD29" s="79">
        <f>IF(AC29=TRUE,0.7,1)</f>
        <v>1</v>
      </c>
      <c r="AE29" s="79" t="str">
        <f>IF(AC29=TRUE,0,"セル")</f>
        <v>セル</v>
      </c>
    </row>
    <row r="30" spans="1:40" s="76" customFormat="1" ht="21.95" customHeight="1">
      <c r="B30" s="80"/>
      <c r="C30" s="80"/>
      <c r="D30" s="80"/>
      <c r="E30" s="80"/>
      <c r="F30" s="80"/>
      <c r="G30" s="80"/>
      <c r="H30" s="80"/>
      <c r="I30" s="216"/>
      <c r="J30" s="217"/>
      <c r="K30" s="332"/>
      <c r="L30" s="333"/>
      <c r="M30" s="332"/>
      <c r="N30" s="333"/>
      <c r="O30" s="330" t="str">
        <f>IF(K30="","",K30-M30)</f>
        <v/>
      </c>
      <c r="P30" s="331"/>
      <c r="Q30" s="212"/>
      <c r="R30" s="212"/>
      <c r="S30" s="212"/>
      <c r="T30" s="212"/>
      <c r="U30" s="205" t="str">
        <f>IF(O30="","",IF(AC30=TRUE,0,O30*Q30*0.034*$U$3))</f>
        <v/>
      </c>
      <c r="V30" s="205"/>
      <c r="W30" s="226" t="str">
        <f>IF(O30="","",IF(ISERROR(O30*Q30*0.034*$W$3),"-",IF(AC30=TRUE,0,O30*Q30*0.034*$W$3)))</f>
        <v/>
      </c>
      <c r="X30" s="227"/>
      <c r="Y30" s="205" t="str">
        <f>IF(Q30="","",IF(AC30=TRUE,0.7*Q30*O30,Q30*O30))</f>
        <v/>
      </c>
      <c r="Z30" s="206"/>
      <c r="AC30" s="79" t="b">
        <v>0</v>
      </c>
      <c r="AD30" s="79">
        <f>IF(AC30=TRUE,0.7,1)</f>
        <v>1</v>
      </c>
      <c r="AE30" s="79" t="str">
        <f>IF(AC30=TRUE,0,"セル")</f>
        <v>セル</v>
      </c>
    </row>
    <row r="31" spans="1:40" s="76" customFormat="1" ht="21.95" customHeight="1" thickBot="1">
      <c r="I31" s="214"/>
      <c r="J31" s="215"/>
      <c r="K31" s="345"/>
      <c r="L31" s="346"/>
      <c r="M31" s="345"/>
      <c r="N31" s="346"/>
      <c r="O31" s="347" t="str">
        <f>IF(K31="","",K31-M31)</f>
        <v/>
      </c>
      <c r="P31" s="348"/>
      <c r="Q31" s="349"/>
      <c r="R31" s="349"/>
      <c r="S31" s="349"/>
      <c r="T31" s="349"/>
      <c r="U31" s="300" t="str">
        <f>IF(O31="","",IF(AC31=TRUE,0,O31*Q31*0.034*$U$3))</f>
        <v/>
      </c>
      <c r="V31" s="300"/>
      <c r="W31" s="343" t="str">
        <f>IF(O31="","",IF(ISERROR(O31*Q31*0.034*$W$3),"-",IF(AC31=TRUE,0,O31*Q31*0.034*$W$3)))</f>
        <v/>
      </c>
      <c r="X31" s="344"/>
      <c r="Y31" s="300" t="str">
        <f>IF(Q31="","",IF(AC31=TRUE,0.7*Q31*O31,Q31*O31))</f>
        <v/>
      </c>
      <c r="Z31" s="301"/>
      <c r="AC31" s="79" t="b">
        <v>0</v>
      </c>
      <c r="AD31" s="79">
        <f>IF(AC31=TRUE,0.7,1)</f>
        <v>1</v>
      </c>
      <c r="AE31" s="79" t="str">
        <f>IF(AC31=TRUE,0,"セル")</f>
        <v>セル</v>
      </c>
    </row>
    <row r="32" spans="1:40" s="76" customFormat="1" ht="21.95" customHeight="1" thickBot="1">
      <c r="I32" s="302" t="s">
        <v>160</v>
      </c>
      <c r="J32" s="303"/>
      <c r="K32" s="303"/>
      <c r="L32" s="303"/>
      <c r="M32" s="303"/>
      <c r="N32" s="303"/>
      <c r="O32" s="303"/>
      <c r="P32" s="303"/>
      <c r="Q32" s="303"/>
      <c r="R32" s="303"/>
      <c r="S32" s="303"/>
      <c r="T32" s="355"/>
      <c r="U32" s="304">
        <f>SUM(U29:V31)</f>
        <v>0</v>
      </c>
      <c r="V32" s="304"/>
      <c r="W32" s="304">
        <f>SUM(W29:X31)</f>
        <v>0</v>
      </c>
      <c r="X32" s="304"/>
      <c r="Y32" s="304">
        <f>SUM(Y29:Z31)</f>
        <v>0</v>
      </c>
      <c r="Z32" s="305"/>
    </row>
    <row r="33" spans="1:26" s="76" customFormat="1" ht="9.9499999999999993" customHeight="1"/>
    <row r="34" spans="1:26" s="76" customFormat="1" ht="21.95" customHeight="1" thickBot="1">
      <c r="A34" s="77" t="s">
        <v>161</v>
      </c>
    </row>
    <row r="35" spans="1:26" s="76" customFormat="1" ht="21.95" customHeight="1">
      <c r="A35" s="309" t="s">
        <v>134</v>
      </c>
      <c r="B35" s="310"/>
      <c r="C35" s="323" t="s">
        <v>65</v>
      </c>
      <c r="D35" s="324"/>
      <c r="E35" s="324"/>
      <c r="F35" s="324"/>
      <c r="G35" s="324"/>
      <c r="H35" s="324"/>
      <c r="I35" s="325"/>
      <c r="J35" s="81"/>
      <c r="K35" s="319">
        <f>P35+T35+X35</f>
        <v>0</v>
      </c>
      <c r="L35" s="319"/>
      <c r="M35" s="319"/>
      <c r="N35" s="81" t="s">
        <v>24</v>
      </c>
      <c r="O35" s="82" t="s">
        <v>23</v>
      </c>
      <c r="P35" s="320">
        <f>C7*E7+C8*E8+C9*E9+C10*E10+C11*E11+C12*E12+C13*E13+C14*E14+C15*E15+C16*E16</f>
        <v>0</v>
      </c>
      <c r="Q35" s="320"/>
      <c r="R35" s="83" t="s">
        <v>25</v>
      </c>
      <c r="S35" s="83" t="s">
        <v>22</v>
      </c>
      <c r="T35" s="321">
        <f>M22*O22+M23*O23</f>
        <v>0</v>
      </c>
      <c r="U35" s="321"/>
      <c r="V35" s="83" t="s">
        <v>25</v>
      </c>
      <c r="W35" s="83" t="s">
        <v>1</v>
      </c>
      <c r="X35" s="322">
        <f>SUM(O29:P31)</f>
        <v>0</v>
      </c>
      <c r="Y35" s="322"/>
      <c r="Z35" s="84" t="s">
        <v>19</v>
      </c>
    </row>
    <row r="36" spans="1:26" s="76" customFormat="1" ht="21.95" customHeight="1">
      <c r="A36" s="311"/>
      <c r="B36" s="312"/>
      <c r="C36" s="315" t="s">
        <v>92</v>
      </c>
      <c r="D36" s="316"/>
      <c r="E36" s="316"/>
      <c r="F36" s="316"/>
      <c r="G36" s="316"/>
      <c r="H36" s="316"/>
      <c r="I36" s="317"/>
      <c r="J36" s="85"/>
      <c r="K36" s="85"/>
      <c r="L36" s="85"/>
      <c r="M36" s="85"/>
      <c r="N36" s="85"/>
      <c r="O36" s="85"/>
      <c r="P36" s="85"/>
      <c r="Q36" s="85"/>
      <c r="R36" s="85"/>
      <c r="S36" s="85"/>
      <c r="T36" s="85"/>
      <c r="U36" s="85"/>
      <c r="V36" s="318">
        <f>U17+U24+U32</f>
        <v>0</v>
      </c>
      <c r="W36" s="318"/>
      <c r="X36" s="318"/>
      <c r="Y36" s="85"/>
      <c r="Z36" s="86"/>
    </row>
    <row r="37" spans="1:26" s="76" customFormat="1" ht="21.95" customHeight="1">
      <c r="A37" s="311"/>
      <c r="B37" s="312"/>
      <c r="C37" s="315" t="s">
        <v>93</v>
      </c>
      <c r="D37" s="316"/>
      <c r="E37" s="316"/>
      <c r="F37" s="316"/>
      <c r="G37" s="316"/>
      <c r="H37" s="316"/>
      <c r="I37" s="317"/>
      <c r="J37" s="85"/>
      <c r="K37" s="85"/>
      <c r="L37" s="85"/>
      <c r="M37" s="85"/>
      <c r="N37" s="85"/>
      <c r="O37" s="85"/>
      <c r="P37" s="85"/>
      <c r="Q37" s="85"/>
      <c r="R37" s="85"/>
      <c r="S37" s="85"/>
      <c r="T37" s="85"/>
      <c r="U37" s="85"/>
      <c r="V37" s="318">
        <f>W17+W24+W32</f>
        <v>0</v>
      </c>
      <c r="W37" s="318"/>
      <c r="X37" s="318"/>
      <c r="Y37" s="85"/>
      <c r="Z37" s="86"/>
    </row>
    <row r="38" spans="1:26" s="76" customFormat="1" ht="21.95" customHeight="1" thickBot="1">
      <c r="A38" s="313"/>
      <c r="B38" s="314"/>
      <c r="C38" s="326" t="s">
        <v>20</v>
      </c>
      <c r="D38" s="327"/>
      <c r="E38" s="327"/>
      <c r="F38" s="327"/>
      <c r="G38" s="327"/>
      <c r="H38" s="327"/>
      <c r="I38" s="328"/>
      <c r="J38" s="87"/>
      <c r="K38" s="87"/>
      <c r="L38" s="87"/>
      <c r="M38" s="87"/>
      <c r="N38" s="87"/>
      <c r="O38" s="87"/>
      <c r="P38" s="87"/>
      <c r="Q38" s="87"/>
      <c r="R38" s="87"/>
      <c r="S38" s="87"/>
      <c r="T38" s="87"/>
      <c r="U38" s="87"/>
      <c r="V38" s="329">
        <f>Y17+Y24+Y32</f>
        <v>0</v>
      </c>
      <c r="W38" s="329"/>
      <c r="X38" s="329"/>
      <c r="Y38" s="88" t="s">
        <v>21</v>
      </c>
      <c r="Z38" s="89"/>
    </row>
    <row r="39" spans="1:26" s="76" customFormat="1" ht="21.95" customHeight="1"/>
    <row r="40" spans="1:26" s="76" customFormat="1" ht="21.95" customHeight="1"/>
    <row r="41" spans="1:26" s="76" customFormat="1" ht="21.95" customHeight="1"/>
    <row r="42" spans="1:26" s="76" customFormat="1" ht="21.95" customHeight="1"/>
    <row r="43" spans="1:26" s="76" customFormat="1" ht="21.95" customHeight="1"/>
    <row r="44" spans="1:26" s="76" customFormat="1" ht="21.95" customHeight="1"/>
    <row r="45" spans="1:26" s="76" customFormat="1" ht="21.95" customHeight="1"/>
    <row r="46" spans="1:26" s="76" customFormat="1" ht="21.95" customHeight="1"/>
    <row r="47" spans="1:26" s="76" customFormat="1" ht="21.95" customHeight="1"/>
    <row r="48" spans="1:26" s="76" customFormat="1" ht="21.95" customHeight="1"/>
    <row r="49" s="76" customFormat="1" ht="21.95" customHeight="1"/>
    <row r="50" s="76" customFormat="1" ht="21.95" customHeight="1"/>
    <row r="51" s="76" customFormat="1" ht="21.95" customHeight="1"/>
    <row r="52" s="76" customFormat="1" ht="21.95" customHeight="1"/>
    <row r="53" s="76" customFormat="1" ht="21.95" customHeight="1"/>
    <row r="54" s="76" customFormat="1" ht="21.95" customHeight="1"/>
    <row r="55" s="76" customFormat="1" ht="24.95" customHeight="1"/>
    <row r="56" s="76" customFormat="1" ht="24.95" customHeight="1"/>
    <row r="57" s="76" customFormat="1" ht="24.95" customHeight="1"/>
    <row r="58" s="76" customFormat="1" ht="24.95" customHeight="1"/>
    <row r="59" s="76" customFormat="1" ht="24.95" customHeight="1"/>
    <row r="60" s="76" customFormat="1" ht="24.95" customHeight="1"/>
    <row r="61" s="76" customFormat="1" ht="24.95" customHeight="1"/>
    <row r="62" s="76" customFormat="1" ht="24.95" customHeight="1"/>
    <row r="63" s="76" customFormat="1" ht="24.95" customHeight="1"/>
    <row r="64" s="76" customFormat="1" ht="24.95" customHeight="1"/>
    <row r="65" s="76" customFormat="1" ht="24.95" customHeight="1"/>
    <row r="66" s="76" customFormat="1" ht="24.95" customHeight="1"/>
    <row r="67" s="76" customFormat="1" ht="24.95" customHeight="1"/>
    <row r="68" s="76" customFormat="1" ht="24.95" customHeight="1"/>
    <row r="69" s="76" customFormat="1" ht="24.95" customHeight="1"/>
    <row r="70" s="76" customFormat="1" ht="24.95" customHeight="1"/>
    <row r="71" s="76" customFormat="1" ht="24.95" customHeight="1"/>
    <row r="72" s="76" customFormat="1" ht="24.95" customHeight="1"/>
    <row r="73" s="76" customFormat="1" ht="24.95" customHeight="1"/>
    <row r="74" s="76" customFormat="1" ht="24.95" customHeight="1"/>
    <row r="75" s="76" customFormat="1" ht="24.95" customHeight="1"/>
    <row r="76" s="76" customFormat="1" ht="24.95" customHeight="1"/>
    <row r="77" s="76" customFormat="1" ht="24.95" customHeight="1"/>
    <row r="78" s="76" customFormat="1" ht="24.95" customHeight="1"/>
    <row r="79" s="76" customFormat="1" ht="24.95" customHeight="1"/>
    <row r="80" s="76" customFormat="1" ht="24.95" customHeight="1"/>
    <row r="81" s="76" customFormat="1" ht="24.95" customHeight="1"/>
    <row r="82" s="76" customFormat="1" ht="24.95" customHeight="1"/>
    <row r="83" s="76" customFormat="1" ht="24.95" customHeight="1"/>
    <row r="84" s="76" customFormat="1" ht="24.95" customHeight="1"/>
    <row r="85" s="76" customFormat="1" ht="24.95" customHeight="1"/>
    <row r="86" s="76" customFormat="1" ht="24.95" customHeight="1"/>
    <row r="87" s="76" customFormat="1" ht="24.95" customHeight="1"/>
    <row r="88" s="90" customFormat="1" ht="24.95" customHeight="1"/>
    <row r="89" s="90" customFormat="1" ht="24.95" customHeight="1"/>
    <row r="90" ht="24.95" customHeight="1"/>
    <row r="91" ht="24.95" customHeight="1"/>
    <row r="92" ht="24.95" customHeight="1"/>
    <row r="93" ht="24.95" customHeight="1"/>
    <row r="94" ht="24.95" customHeight="1"/>
    <row r="95" ht="24.95" customHeight="1"/>
    <row r="96" ht="24.95" customHeight="1"/>
    <row r="97" ht="24.95" customHeight="1"/>
    <row r="98" ht="24.95" customHeight="1"/>
    <row r="99" ht="24.95" customHeight="1"/>
    <row r="100" ht="24.95" customHeight="1"/>
  </sheetData>
  <sheetProtection sheet="1" objects="1" scenarios="1"/>
  <mergeCells count="241">
    <mergeCell ref="I23:L23"/>
    <mergeCell ref="I27:J28"/>
    <mergeCell ref="I24:T24"/>
    <mergeCell ref="I32:T32"/>
    <mergeCell ref="C5:D6"/>
    <mergeCell ref="E5:F6"/>
    <mergeCell ref="M5:N6"/>
    <mergeCell ref="O5:T5"/>
    <mergeCell ref="M7:N7"/>
    <mergeCell ref="O7:P7"/>
    <mergeCell ref="S9:T9"/>
    <mergeCell ref="S11:T11"/>
    <mergeCell ref="S13:T13"/>
    <mergeCell ref="M22:N22"/>
    <mergeCell ref="O22:P22"/>
    <mergeCell ref="Q22:R22"/>
    <mergeCell ref="S22:T22"/>
    <mergeCell ref="I20:L21"/>
    <mergeCell ref="I22:L22"/>
    <mergeCell ref="K30:L30"/>
    <mergeCell ref="M30:N30"/>
    <mergeCell ref="O30:P30"/>
    <mergeCell ref="I30:J30"/>
    <mergeCell ref="I29:J29"/>
    <mergeCell ref="A1:Z1"/>
    <mergeCell ref="Q3:T3"/>
    <mergeCell ref="U3:V3"/>
    <mergeCell ref="W3:X3"/>
    <mergeCell ref="A4:B6"/>
    <mergeCell ref="C4:F4"/>
    <mergeCell ref="G4:H6"/>
    <mergeCell ref="I4:J6"/>
    <mergeCell ref="K4:L6"/>
    <mergeCell ref="M4:T4"/>
    <mergeCell ref="I7:J7"/>
    <mergeCell ref="K7:L7"/>
    <mergeCell ref="Q7:R7"/>
    <mergeCell ref="S7:T7"/>
    <mergeCell ref="U7:V7"/>
    <mergeCell ref="AC5:AD5"/>
    <mergeCell ref="AG5:AH5"/>
    <mergeCell ref="AJ5:AK5"/>
    <mergeCell ref="AM5:AN5"/>
    <mergeCell ref="O6:P6"/>
    <mergeCell ref="Q6:R6"/>
    <mergeCell ref="S6:T6"/>
    <mergeCell ref="U4:V6"/>
    <mergeCell ref="W4:X6"/>
    <mergeCell ref="Y4:Z6"/>
    <mergeCell ref="I9:J9"/>
    <mergeCell ref="K9:L9"/>
    <mergeCell ref="M9:N9"/>
    <mergeCell ref="O9:P9"/>
    <mergeCell ref="Q9:R9"/>
    <mergeCell ref="W7:X7"/>
    <mergeCell ref="Y7:Z7"/>
    <mergeCell ref="A8:B8"/>
    <mergeCell ref="C8:D8"/>
    <mergeCell ref="E8:F8"/>
    <mergeCell ref="G8:H8"/>
    <mergeCell ref="I8:J8"/>
    <mergeCell ref="K8:L8"/>
    <mergeCell ref="M8:N8"/>
    <mergeCell ref="O8:P8"/>
    <mergeCell ref="Q8:R8"/>
    <mergeCell ref="S8:T8"/>
    <mergeCell ref="U8:V8"/>
    <mergeCell ref="W8:X8"/>
    <mergeCell ref="Y8:Z8"/>
    <mergeCell ref="A7:B7"/>
    <mergeCell ref="C7:D7"/>
    <mergeCell ref="E7:F7"/>
    <mergeCell ref="G7:H7"/>
    <mergeCell ref="K11:L11"/>
    <mergeCell ref="M11:N11"/>
    <mergeCell ref="O11:P11"/>
    <mergeCell ref="Q11:R11"/>
    <mergeCell ref="U9:V9"/>
    <mergeCell ref="W9:X9"/>
    <mergeCell ref="Y9:Z9"/>
    <mergeCell ref="A10:B10"/>
    <mergeCell ref="C10:D10"/>
    <mergeCell ref="E10:F10"/>
    <mergeCell ref="G10:H10"/>
    <mergeCell ref="I10:J10"/>
    <mergeCell ref="K10:L10"/>
    <mergeCell ref="M10:N10"/>
    <mergeCell ref="O10:P10"/>
    <mergeCell ref="Q10:R10"/>
    <mergeCell ref="S10:T10"/>
    <mergeCell ref="U10:V10"/>
    <mergeCell ref="W10:X10"/>
    <mergeCell ref="Y10:Z10"/>
    <mergeCell ref="A9:B9"/>
    <mergeCell ref="C9:D9"/>
    <mergeCell ref="E9:F9"/>
    <mergeCell ref="G9:H9"/>
    <mergeCell ref="M13:N13"/>
    <mergeCell ref="O13:P13"/>
    <mergeCell ref="Q13:R13"/>
    <mergeCell ref="U11:V11"/>
    <mergeCell ref="W11:X11"/>
    <mergeCell ref="Y11:Z11"/>
    <mergeCell ref="A12:B12"/>
    <mergeCell ref="C12:D12"/>
    <mergeCell ref="E12:F12"/>
    <mergeCell ref="G12:H12"/>
    <mergeCell ref="I12:J12"/>
    <mergeCell ref="K12:L12"/>
    <mergeCell ref="M12:N12"/>
    <mergeCell ref="O12:P12"/>
    <mergeCell ref="Q12:R12"/>
    <mergeCell ref="S12:T12"/>
    <mergeCell ref="U12:V12"/>
    <mergeCell ref="W12:X12"/>
    <mergeCell ref="Y12:Z12"/>
    <mergeCell ref="A11:B11"/>
    <mergeCell ref="C11:D11"/>
    <mergeCell ref="E11:F11"/>
    <mergeCell ref="G11:H11"/>
    <mergeCell ref="I11:J11"/>
    <mergeCell ref="Y15:Z15"/>
    <mergeCell ref="W15:X15"/>
    <mergeCell ref="U13:V13"/>
    <mergeCell ref="W13:X13"/>
    <mergeCell ref="Y13:Z13"/>
    <mergeCell ref="A14:B14"/>
    <mergeCell ref="C14:D14"/>
    <mergeCell ref="E14:F14"/>
    <mergeCell ref="G14:H14"/>
    <mergeCell ref="I14:J14"/>
    <mergeCell ref="K14:L14"/>
    <mergeCell ref="M14:N14"/>
    <mergeCell ref="O14:P14"/>
    <mergeCell ref="Q14:R14"/>
    <mergeCell ref="S14:T14"/>
    <mergeCell ref="U14:V14"/>
    <mergeCell ref="W14:X14"/>
    <mergeCell ref="Y14:Z14"/>
    <mergeCell ref="A13:B13"/>
    <mergeCell ref="C13:D13"/>
    <mergeCell ref="E13:F13"/>
    <mergeCell ref="G13:H13"/>
    <mergeCell ref="I13:J13"/>
    <mergeCell ref="K13:L13"/>
    <mergeCell ref="Q15:R15"/>
    <mergeCell ref="S15:T15"/>
    <mergeCell ref="U15:V15"/>
    <mergeCell ref="A15:B15"/>
    <mergeCell ref="C15:D15"/>
    <mergeCell ref="E15:F15"/>
    <mergeCell ref="G15:H15"/>
    <mergeCell ref="I15:J15"/>
    <mergeCell ref="K15:L15"/>
    <mergeCell ref="M15:N15"/>
    <mergeCell ref="O15:P15"/>
    <mergeCell ref="W16:X16"/>
    <mergeCell ref="Y16:Z16"/>
    <mergeCell ref="A17:T17"/>
    <mergeCell ref="U17:V17"/>
    <mergeCell ref="W17:X17"/>
    <mergeCell ref="Y17:Z17"/>
    <mergeCell ref="K16:L16"/>
    <mergeCell ref="M16:N16"/>
    <mergeCell ref="O16:P16"/>
    <mergeCell ref="Q16:R16"/>
    <mergeCell ref="A16:B16"/>
    <mergeCell ref="C16:D16"/>
    <mergeCell ref="E16:F16"/>
    <mergeCell ref="G16:H16"/>
    <mergeCell ref="I16:J16"/>
    <mergeCell ref="S16:T16"/>
    <mergeCell ref="U16:V16"/>
    <mergeCell ref="AM18:AN18"/>
    <mergeCell ref="M20:P20"/>
    <mergeCell ref="Q20:R21"/>
    <mergeCell ref="S20:T21"/>
    <mergeCell ref="U20:V21"/>
    <mergeCell ref="W20:X21"/>
    <mergeCell ref="Y20:Z21"/>
    <mergeCell ref="AM20:AN20"/>
    <mergeCell ref="M21:N21"/>
    <mergeCell ref="O21:P21"/>
    <mergeCell ref="U22:V22"/>
    <mergeCell ref="W22:X22"/>
    <mergeCell ref="Y22:Z22"/>
    <mergeCell ref="M23:N23"/>
    <mergeCell ref="O23:P23"/>
    <mergeCell ref="Q23:R23"/>
    <mergeCell ref="S23:T23"/>
    <mergeCell ref="U23:V23"/>
    <mergeCell ref="W23:X23"/>
    <mergeCell ref="Y23:Z23"/>
    <mergeCell ref="U24:V24"/>
    <mergeCell ref="W24:X24"/>
    <mergeCell ref="Y24:Z24"/>
    <mergeCell ref="K27:L28"/>
    <mergeCell ref="M27:N28"/>
    <mergeCell ref="O27:P28"/>
    <mergeCell ref="Q27:R28"/>
    <mergeCell ref="S27:T28"/>
    <mergeCell ref="K29:L29"/>
    <mergeCell ref="M29:N29"/>
    <mergeCell ref="O29:P29"/>
    <mergeCell ref="Q29:R29"/>
    <mergeCell ref="S29:T29"/>
    <mergeCell ref="U29:V29"/>
    <mergeCell ref="W30:X30"/>
    <mergeCell ref="Y30:Z30"/>
    <mergeCell ref="U27:V28"/>
    <mergeCell ref="W27:X28"/>
    <mergeCell ref="Y27:Z28"/>
    <mergeCell ref="W29:X29"/>
    <mergeCell ref="Q31:R31"/>
    <mergeCell ref="S31:T31"/>
    <mergeCell ref="U31:V31"/>
    <mergeCell ref="Y29:Z29"/>
    <mergeCell ref="Q30:R30"/>
    <mergeCell ref="S30:T30"/>
    <mergeCell ref="U30:V30"/>
    <mergeCell ref="W31:X31"/>
    <mergeCell ref="Y31:Z31"/>
    <mergeCell ref="U32:V32"/>
    <mergeCell ref="W32:X32"/>
    <mergeCell ref="Y32:Z32"/>
    <mergeCell ref="K31:L31"/>
    <mergeCell ref="M31:N31"/>
    <mergeCell ref="O31:P31"/>
    <mergeCell ref="I31:J31"/>
    <mergeCell ref="C38:I38"/>
    <mergeCell ref="V38:X38"/>
    <mergeCell ref="A35:B38"/>
    <mergeCell ref="C35:I35"/>
    <mergeCell ref="K35:M35"/>
    <mergeCell ref="P35:Q35"/>
    <mergeCell ref="T35:U35"/>
    <mergeCell ref="X35:Y35"/>
    <mergeCell ref="C36:I36"/>
    <mergeCell ref="V36:X36"/>
    <mergeCell ref="C37:I37"/>
    <mergeCell ref="V37:X37"/>
  </mergeCells>
  <phoneticPr fontId="2"/>
  <conditionalFormatting sqref="U17:V17">
    <cfRule type="expression" dxfId="100" priority="49" stopIfTrue="1">
      <formula>$U$17=0</formula>
    </cfRule>
  </conditionalFormatting>
  <conditionalFormatting sqref="W17:X17">
    <cfRule type="expression" dxfId="99" priority="48" stopIfTrue="1">
      <formula>$W$17=0</formula>
    </cfRule>
  </conditionalFormatting>
  <conditionalFormatting sqref="Y17:Z17">
    <cfRule type="expression" dxfId="98" priority="47" stopIfTrue="1">
      <formula>$Y$17=0</formula>
    </cfRule>
  </conditionalFormatting>
  <conditionalFormatting sqref="U24:V24">
    <cfRule type="expression" dxfId="97" priority="46" stopIfTrue="1">
      <formula>$U$24:$V$24=0</formula>
    </cfRule>
  </conditionalFormatting>
  <conditionalFormatting sqref="U32:V32">
    <cfRule type="expression" dxfId="96" priority="45" stopIfTrue="1">
      <formula>$U$32:$V$32=0</formula>
    </cfRule>
  </conditionalFormatting>
  <conditionalFormatting sqref="X35:Y35">
    <cfRule type="expression" dxfId="95" priority="44" stopIfTrue="1">
      <formula>$X$35=0</formula>
    </cfRule>
  </conditionalFormatting>
  <conditionalFormatting sqref="P35:Q35">
    <cfRule type="expression" dxfId="94" priority="43" stopIfTrue="1">
      <formula>$P$35=0</formula>
    </cfRule>
  </conditionalFormatting>
  <conditionalFormatting sqref="T35:U35">
    <cfRule type="expression" dxfId="93" priority="42" stopIfTrue="1">
      <formula>$T$35=0</formula>
    </cfRule>
  </conditionalFormatting>
  <conditionalFormatting sqref="K35:M35">
    <cfRule type="expression" dxfId="92" priority="41" stopIfTrue="1">
      <formula>$K$35=0</formula>
    </cfRule>
  </conditionalFormatting>
  <conditionalFormatting sqref="W7:X7">
    <cfRule type="expression" dxfId="91" priority="39" stopIfTrue="1">
      <formula>#VALUE!</formula>
    </cfRule>
    <cfRule type="expression" dxfId="90" priority="40" stopIfTrue="1">
      <formula>#VALUE!</formula>
    </cfRule>
  </conditionalFormatting>
  <conditionalFormatting sqref="W16:X16">
    <cfRule type="expression" dxfId="89" priority="38" stopIfTrue="1">
      <formula>#VALUE!</formula>
    </cfRule>
  </conditionalFormatting>
  <conditionalFormatting sqref="W7:X7">
    <cfRule type="expression" dxfId="88" priority="26" stopIfTrue="1">
      <formula>#VALUE!</formula>
    </cfRule>
    <cfRule type="expression" dxfId="87" priority="27" stopIfTrue="1">
      <formula>#VALUE!</formula>
    </cfRule>
  </conditionalFormatting>
  <conditionalFormatting sqref="W16:X16">
    <cfRule type="expression" dxfId="86" priority="25" stopIfTrue="1">
      <formula>#VALUE!</formula>
    </cfRule>
  </conditionalFormatting>
  <conditionalFormatting sqref="W24:X24">
    <cfRule type="expression" dxfId="85" priority="24" stopIfTrue="1">
      <formula>$W$24:$X$24=0</formula>
    </cfRule>
  </conditionalFormatting>
  <conditionalFormatting sqref="Y24:Z24">
    <cfRule type="expression" dxfId="84" priority="23" stopIfTrue="1">
      <formula>$Y$24:$Z$24=0</formula>
    </cfRule>
  </conditionalFormatting>
  <conditionalFormatting sqref="W32:X32">
    <cfRule type="expression" dxfId="83" priority="22" stopIfTrue="1">
      <formula>$W$32:$X$32=0</formula>
    </cfRule>
  </conditionalFormatting>
  <conditionalFormatting sqref="Y32:Z32">
    <cfRule type="expression" dxfId="82" priority="21" stopIfTrue="1">
      <formula>$Y$32:$Z$32=0</formula>
    </cfRule>
  </conditionalFormatting>
  <conditionalFormatting sqref="O7:T7">
    <cfRule type="expression" dxfId="81" priority="10" stopIfTrue="1">
      <formula>$AF$7=TRUE</formula>
    </cfRule>
  </conditionalFormatting>
  <conditionalFormatting sqref="O12:T12">
    <cfRule type="expression" dxfId="80" priority="9" stopIfTrue="1">
      <formula>$AF$12=TRUE</formula>
    </cfRule>
  </conditionalFormatting>
  <conditionalFormatting sqref="O13:T13">
    <cfRule type="expression" dxfId="79" priority="8" stopIfTrue="1">
      <formula>$AF$13=TRUE</formula>
    </cfRule>
  </conditionalFormatting>
  <conditionalFormatting sqref="O14:T14">
    <cfRule type="expression" dxfId="78" priority="7" stopIfTrue="1">
      <formula>$AF$14=TRUE</formula>
    </cfRule>
  </conditionalFormatting>
  <conditionalFormatting sqref="O15:T15">
    <cfRule type="expression" dxfId="77" priority="6" stopIfTrue="1">
      <formula>$AF$15=TRUE</formula>
    </cfRule>
  </conditionalFormatting>
  <conditionalFormatting sqref="O16:T16">
    <cfRule type="expression" dxfId="76" priority="5" stopIfTrue="1">
      <formula>$AF$16=TRUE</formula>
    </cfRule>
  </conditionalFormatting>
  <conditionalFormatting sqref="O9:T9">
    <cfRule type="expression" dxfId="75" priority="4" stopIfTrue="1">
      <formula>$AF$9=TRUE</formula>
    </cfRule>
  </conditionalFormatting>
  <conditionalFormatting sqref="O10:T10">
    <cfRule type="expression" dxfId="74" priority="3" stopIfTrue="1">
      <formula>$AF$10=TRUE</formula>
    </cfRule>
  </conditionalFormatting>
  <conditionalFormatting sqref="O11:T11">
    <cfRule type="expression" dxfId="73" priority="2" stopIfTrue="1">
      <formula>$AF$11=TRUE</formula>
    </cfRule>
  </conditionalFormatting>
  <conditionalFormatting sqref="O8:T8">
    <cfRule type="expression" dxfId="72" priority="1" stopIfTrue="1">
      <formula>$AF$8=TRUE</formula>
    </cfRule>
  </conditionalFormatting>
  <dataValidations count="1">
    <dataValidation type="list" allowBlank="1" showInputMessage="1" showErrorMessage="1" sqref="S22:T23 K7:L16">
      <formula1>"　,雨戸,ｼｬｯﾀｰ,障子,風除室"</formula1>
    </dataValidation>
  </dataValidations>
  <pageMargins left="0.59055118110236227" right="0.39370078740157483" top="0.98425196850393704" bottom="0.78740157480314965" header="0.31496062992125984" footer="0.39370078740157483"/>
  <pageSetup paperSize="9" scale="90" orientation="portrait" horizontalDpi="300" verticalDpi="300" r:id="rId1"/>
  <headerFooter>
    <oddHeader>&amp;Rver. 1.3 (excel2007)[H28]</oddHeader>
    <oddFooter>&amp;Cⓒ　2013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01" r:id="rId4" name="Check Box 1">
              <controlPr defaultSize="0" autoFill="0" autoLine="0" autoPict="0">
                <anchor moveWithCells="1">
                  <from>
                    <xdr:col>12</xdr:col>
                    <xdr:colOff>190500</xdr:colOff>
                    <xdr:row>6</xdr:row>
                    <xdr:rowOff>47625</xdr:rowOff>
                  </from>
                  <to>
                    <xdr:col>13</xdr:col>
                    <xdr:colOff>200025</xdr:colOff>
                    <xdr:row>6</xdr:row>
                    <xdr:rowOff>257175</xdr:rowOff>
                  </to>
                </anchor>
              </controlPr>
            </control>
          </mc:Choice>
        </mc:AlternateContent>
        <mc:AlternateContent xmlns:mc="http://schemas.openxmlformats.org/markup-compatibility/2006">
          <mc:Choice Requires="x14">
            <control shapeId="102402" r:id="rId5" name="Check Box 2">
              <controlPr defaultSize="0" autoFill="0" autoLine="0" autoPict="0">
                <anchor moveWithCells="1">
                  <from>
                    <xdr:col>12</xdr:col>
                    <xdr:colOff>190500</xdr:colOff>
                    <xdr:row>7</xdr:row>
                    <xdr:rowOff>47625</xdr:rowOff>
                  </from>
                  <to>
                    <xdr:col>13</xdr:col>
                    <xdr:colOff>200025</xdr:colOff>
                    <xdr:row>7</xdr:row>
                    <xdr:rowOff>257175</xdr:rowOff>
                  </to>
                </anchor>
              </controlPr>
            </control>
          </mc:Choice>
        </mc:AlternateContent>
        <mc:AlternateContent xmlns:mc="http://schemas.openxmlformats.org/markup-compatibility/2006">
          <mc:Choice Requires="x14">
            <control shapeId="102403" r:id="rId6" name="Check Box 3">
              <controlPr defaultSize="0" autoFill="0" autoLine="0" autoPict="0">
                <anchor moveWithCells="1">
                  <from>
                    <xdr:col>12</xdr:col>
                    <xdr:colOff>190500</xdr:colOff>
                    <xdr:row>11</xdr:row>
                    <xdr:rowOff>47625</xdr:rowOff>
                  </from>
                  <to>
                    <xdr:col>13</xdr:col>
                    <xdr:colOff>200025</xdr:colOff>
                    <xdr:row>11</xdr:row>
                    <xdr:rowOff>257175</xdr:rowOff>
                  </to>
                </anchor>
              </controlPr>
            </control>
          </mc:Choice>
        </mc:AlternateContent>
        <mc:AlternateContent xmlns:mc="http://schemas.openxmlformats.org/markup-compatibility/2006">
          <mc:Choice Requires="x14">
            <control shapeId="102404" r:id="rId7" name="Check Box 4">
              <controlPr defaultSize="0" autoFill="0" autoLine="0" autoPict="0">
                <anchor moveWithCells="1">
                  <from>
                    <xdr:col>12</xdr:col>
                    <xdr:colOff>190500</xdr:colOff>
                    <xdr:row>12</xdr:row>
                    <xdr:rowOff>47625</xdr:rowOff>
                  </from>
                  <to>
                    <xdr:col>13</xdr:col>
                    <xdr:colOff>200025</xdr:colOff>
                    <xdr:row>12</xdr:row>
                    <xdr:rowOff>257175</xdr:rowOff>
                  </to>
                </anchor>
              </controlPr>
            </control>
          </mc:Choice>
        </mc:AlternateContent>
        <mc:AlternateContent xmlns:mc="http://schemas.openxmlformats.org/markup-compatibility/2006">
          <mc:Choice Requires="x14">
            <control shapeId="102405" r:id="rId8" name="Check Box 5">
              <controlPr defaultSize="0" autoFill="0" autoLine="0" autoPict="0">
                <anchor moveWithCells="1">
                  <from>
                    <xdr:col>12</xdr:col>
                    <xdr:colOff>190500</xdr:colOff>
                    <xdr:row>13</xdr:row>
                    <xdr:rowOff>47625</xdr:rowOff>
                  </from>
                  <to>
                    <xdr:col>13</xdr:col>
                    <xdr:colOff>200025</xdr:colOff>
                    <xdr:row>13</xdr:row>
                    <xdr:rowOff>257175</xdr:rowOff>
                  </to>
                </anchor>
              </controlPr>
            </control>
          </mc:Choice>
        </mc:AlternateContent>
        <mc:AlternateContent xmlns:mc="http://schemas.openxmlformats.org/markup-compatibility/2006">
          <mc:Choice Requires="x14">
            <control shapeId="102406" r:id="rId9" name="Check Box 6">
              <controlPr defaultSize="0" autoFill="0" autoLine="0" autoPict="0">
                <anchor moveWithCells="1">
                  <from>
                    <xdr:col>12</xdr:col>
                    <xdr:colOff>190500</xdr:colOff>
                    <xdr:row>14</xdr:row>
                    <xdr:rowOff>47625</xdr:rowOff>
                  </from>
                  <to>
                    <xdr:col>13</xdr:col>
                    <xdr:colOff>200025</xdr:colOff>
                    <xdr:row>14</xdr:row>
                    <xdr:rowOff>257175</xdr:rowOff>
                  </to>
                </anchor>
              </controlPr>
            </control>
          </mc:Choice>
        </mc:AlternateContent>
        <mc:AlternateContent xmlns:mc="http://schemas.openxmlformats.org/markup-compatibility/2006">
          <mc:Choice Requires="x14">
            <control shapeId="102407" r:id="rId10" name="Check Box 7">
              <controlPr defaultSize="0" autoFill="0" autoLine="0" autoPict="0">
                <anchor moveWithCells="1">
                  <from>
                    <xdr:col>12</xdr:col>
                    <xdr:colOff>190500</xdr:colOff>
                    <xdr:row>15</xdr:row>
                    <xdr:rowOff>47625</xdr:rowOff>
                  </from>
                  <to>
                    <xdr:col>13</xdr:col>
                    <xdr:colOff>200025</xdr:colOff>
                    <xdr:row>15</xdr:row>
                    <xdr:rowOff>257175</xdr:rowOff>
                  </to>
                </anchor>
              </controlPr>
            </control>
          </mc:Choice>
        </mc:AlternateContent>
        <mc:AlternateContent xmlns:mc="http://schemas.openxmlformats.org/markup-compatibility/2006">
          <mc:Choice Requires="x14">
            <control shapeId="102408" r:id="rId11" name="Check Box 8">
              <controlPr defaultSize="0" autoFill="0" autoLine="0" autoPict="0">
                <anchor moveWithCells="1">
                  <from>
                    <xdr:col>12</xdr:col>
                    <xdr:colOff>190500</xdr:colOff>
                    <xdr:row>8</xdr:row>
                    <xdr:rowOff>47625</xdr:rowOff>
                  </from>
                  <to>
                    <xdr:col>13</xdr:col>
                    <xdr:colOff>200025</xdr:colOff>
                    <xdr:row>8</xdr:row>
                    <xdr:rowOff>257175</xdr:rowOff>
                  </to>
                </anchor>
              </controlPr>
            </control>
          </mc:Choice>
        </mc:AlternateContent>
        <mc:AlternateContent xmlns:mc="http://schemas.openxmlformats.org/markup-compatibility/2006">
          <mc:Choice Requires="x14">
            <control shapeId="102409" r:id="rId12" name="Check Box 9">
              <controlPr defaultSize="0" autoFill="0" autoLine="0" autoPict="0">
                <anchor moveWithCells="1">
                  <from>
                    <xdr:col>12</xdr:col>
                    <xdr:colOff>190500</xdr:colOff>
                    <xdr:row>9</xdr:row>
                    <xdr:rowOff>47625</xdr:rowOff>
                  </from>
                  <to>
                    <xdr:col>13</xdr:col>
                    <xdr:colOff>200025</xdr:colOff>
                    <xdr:row>9</xdr:row>
                    <xdr:rowOff>257175</xdr:rowOff>
                  </to>
                </anchor>
              </controlPr>
            </control>
          </mc:Choice>
        </mc:AlternateContent>
        <mc:AlternateContent xmlns:mc="http://schemas.openxmlformats.org/markup-compatibility/2006">
          <mc:Choice Requires="x14">
            <control shapeId="102410" r:id="rId13" name="Check Box 10">
              <controlPr defaultSize="0" autoFill="0" autoLine="0" autoPict="0">
                <anchor moveWithCells="1">
                  <from>
                    <xdr:col>12</xdr:col>
                    <xdr:colOff>190500</xdr:colOff>
                    <xdr:row>10</xdr:row>
                    <xdr:rowOff>47625</xdr:rowOff>
                  </from>
                  <to>
                    <xdr:col>13</xdr:col>
                    <xdr:colOff>200025</xdr:colOff>
                    <xdr:row>10</xdr:row>
                    <xdr:rowOff>257175</xdr:rowOff>
                  </to>
                </anchor>
              </controlPr>
            </control>
          </mc:Choice>
        </mc:AlternateContent>
        <mc:AlternateContent xmlns:mc="http://schemas.openxmlformats.org/markup-compatibility/2006">
          <mc:Choice Requires="x14">
            <control shapeId="102422" r:id="rId14" name="Check Box 22">
              <controlPr defaultSize="0" autoFill="0" autoLine="0" autoPict="0">
                <anchor moveWithCells="1">
                  <from>
                    <xdr:col>18</xdr:col>
                    <xdr:colOff>190500</xdr:colOff>
                    <xdr:row>28</xdr:row>
                    <xdr:rowOff>47625</xdr:rowOff>
                  </from>
                  <to>
                    <xdr:col>19</xdr:col>
                    <xdr:colOff>200025</xdr:colOff>
                    <xdr:row>28</xdr:row>
                    <xdr:rowOff>257175</xdr:rowOff>
                  </to>
                </anchor>
              </controlPr>
            </control>
          </mc:Choice>
        </mc:AlternateContent>
        <mc:AlternateContent xmlns:mc="http://schemas.openxmlformats.org/markup-compatibility/2006">
          <mc:Choice Requires="x14">
            <control shapeId="102423" r:id="rId15" name="Check Box 23">
              <controlPr defaultSize="0" autoFill="0" autoLine="0" autoPict="0">
                <anchor moveWithCells="1">
                  <from>
                    <xdr:col>18</xdr:col>
                    <xdr:colOff>190500</xdr:colOff>
                    <xdr:row>29</xdr:row>
                    <xdr:rowOff>47625</xdr:rowOff>
                  </from>
                  <to>
                    <xdr:col>19</xdr:col>
                    <xdr:colOff>200025</xdr:colOff>
                    <xdr:row>29</xdr:row>
                    <xdr:rowOff>257175</xdr:rowOff>
                  </to>
                </anchor>
              </controlPr>
            </control>
          </mc:Choice>
        </mc:AlternateContent>
        <mc:AlternateContent xmlns:mc="http://schemas.openxmlformats.org/markup-compatibility/2006">
          <mc:Choice Requires="x14">
            <control shapeId="102424" r:id="rId16" name="Check Box 24">
              <controlPr defaultSize="0" autoFill="0" autoLine="0" autoPict="0">
                <anchor moveWithCells="1">
                  <from>
                    <xdr:col>18</xdr:col>
                    <xdr:colOff>190500</xdr:colOff>
                    <xdr:row>30</xdr:row>
                    <xdr:rowOff>47625</xdr:rowOff>
                  </from>
                  <to>
                    <xdr:col>19</xdr:col>
                    <xdr:colOff>200025</xdr:colOff>
                    <xdr:row>30</xdr:row>
                    <xdr:rowOff>257175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0"/>
  <sheetViews>
    <sheetView zoomScaleNormal="100" workbookViewId="0">
      <selection sqref="A1:Z1"/>
    </sheetView>
  </sheetViews>
  <sheetFormatPr defaultRowHeight="13.5"/>
  <cols>
    <col min="1" max="28" width="3.875" style="91" customWidth="1"/>
    <col min="29" max="30" width="10.625" style="91" hidden="1" customWidth="1"/>
    <col min="31" max="31" width="2.625" style="91" hidden="1" customWidth="1"/>
    <col min="32" max="34" width="10.625" style="91" hidden="1" customWidth="1"/>
    <col min="35" max="35" width="2.625" style="91" hidden="1" customWidth="1"/>
    <col min="36" max="37" width="15.625" style="91" hidden="1" customWidth="1"/>
    <col min="38" max="38" width="2.625" style="91" hidden="1" customWidth="1"/>
    <col min="39" max="40" width="10.625" style="91" hidden="1" customWidth="1"/>
    <col min="41" max="42" width="3.625" style="91" customWidth="1"/>
    <col min="43" max="48" width="4.625" style="91" customWidth="1"/>
    <col min="49" max="16384" width="9" style="91"/>
  </cols>
  <sheetData>
    <row r="1" spans="1:40" s="75" customFormat="1" ht="30" customHeight="1">
      <c r="A1" s="228" t="s">
        <v>142</v>
      </c>
      <c r="B1" s="228"/>
      <c r="C1" s="228"/>
      <c r="D1" s="228"/>
      <c r="E1" s="228"/>
      <c r="F1" s="228"/>
      <c r="G1" s="228"/>
      <c r="H1" s="228"/>
      <c r="I1" s="228"/>
      <c r="J1" s="228"/>
      <c r="K1" s="228"/>
      <c r="L1" s="228"/>
      <c r="M1" s="228"/>
      <c r="N1" s="228"/>
      <c r="O1" s="228"/>
      <c r="P1" s="228"/>
      <c r="Q1" s="228"/>
      <c r="R1" s="228"/>
      <c r="S1" s="228"/>
      <c r="T1" s="228"/>
      <c r="U1" s="228"/>
      <c r="V1" s="228"/>
      <c r="W1" s="228"/>
      <c r="X1" s="228"/>
      <c r="Y1" s="228"/>
      <c r="Z1" s="228"/>
    </row>
    <row r="2" spans="1:40" s="76" customFormat="1" ht="24.95" customHeight="1" thickBot="1"/>
    <row r="3" spans="1:40" s="76" customFormat="1" ht="21.95" customHeight="1" thickBot="1">
      <c r="A3" s="77" t="s">
        <v>5</v>
      </c>
      <c r="Q3" s="229" t="s">
        <v>37</v>
      </c>
      <c r="R3" s="230"/>
      <c r="S3" s="230"/>
      <c r="T3" s="231"/>
      <c r="U3" s="376" t="b">
        <f>IF(共通条件・結果!Z6="８地域","0.505",IF(共通条件・結果!Z6="７地域",0.495,IF(共通条件・結果!Z6="６地域",0.504,IF(共通条件・結果!Z6="５地域",0.518,IF(共通条件・結果!Z6="４地域",0.481,IF(共通条件・結果!Z6="３地域",0.553,IF(共通条件・結果!Z6="２地域",0.529,IF(共通条件・結果!Z6="１地域",0.508))))))))</f>
        <v>0</v>
      </c>
      <c r="V3" s="377"/>
      <c r="W3" s="376" t="b">
        <f>IF(共通条件・結果!Z6="８地域","-",IF(共通条件・結果!Z6="７地域",0.548,IF(共通条件・結果!Z6="６地域",0.523,IF(共通条件・結果!Z6="５地域",0.538,IF(共通条件・結果!Z6="４地域",0.527,IF(共通条件・結果!Z6="３地域",0.542,IF(共通条件・結果!Z6="２地域",0.544,IF(共通条件・結果!Z6="１地域",0.535))))))))</f>
        <v>0</v>
      </c>
      <c r="X3" s="377"/>
    </row>
    <row r="4" spans="1:40" s="76" customFormat="1" ht="21.95" customHeight="1">
      <c r="A4" s="236" t="s">
        <v>6</v>
      </c>
      <c r="B4" s="237"/>
      <c r="C4" s="237" t="s">
        <v>113</v>
      </c>
      <c r="D4" s="237"/>
      <c r="E4" s="237"/>
      <c r="F4" s="237"/>
      <c r="G4" s="237" t="s">
        <v>7</v>
      </c>
      <c r="H4" s="237"/>
      <c r="I4" s="254" t="s">
        <v>127</v>
      </c>
      <c r="J4" s="237"/>
      <c r="K4" s="254" t="s">
        <v>10</v>
      </c>
      <c r="L4" s="237"/>
      <c r="M4" s="262" t="s">
        <v>91</v>
      </c>
      <c r="N4" s="263"/>
      <c r="O4" s="263"/>
      <c r="P4" s="263"/>
      <c r="Q4" s="263"/>
      <c r="R4" s="263"/>
      <c r="S4" s="263"/>
      <c r="T4" s="263"/>
      <c r="U4" s="254" t="s">
        <v>86</v>
      </c>
      <c r="V4" s="237"/>
      <c r="W4" s="254" t="s">
        <v>87</v>
      </c>
      <c r="X4" s="237"/>
      <c r="Y4" s="237" t="s">
        <v>13</v>
      </c>
      <c r="Z4" s="256"/>
    </row>
    <row r="5" spans="1:40" s="76" customFormat="1" ht="21.95" customHeight="1">
      <c r="A5" s="238"/>
      <c r="B5" s="239"/>
      <c r="C5" s="242" t="s">
        <v>9</v>
      </c>
      <c r="D5" s="243"/>
      <c r="E5" s="246" t="s">
        <v>8</v>
      </c>
      <c r="F5" s="247"/>
      <c r="G5" s="239"/>
      <c r="H5" s="239"/>
      <c r="I5" s="255"/>
      <c r="J5" s="239"/>
      <c r="K5" s="255"/>
      <c r="L5" s="239"/>
      <c r="M5" s="250" t="s">
        <v>89</v>
      </c>
      <c r="N5" s="251"/>
      <c r="O5" s="259" t="s">
        <v>90</v>
      </c>
      <c r="P5" s="260"/>
      <c r="Q5" s="260"/>
      <c r="R5" s="260"/>
      <c r="S5" s="260"/>
      <c r="T5" s="261"/>
      <c r="U5" s="255"/>
      <c r="V5" s="239"/>
      <c r="W5" s="255"/>
      <c r="X5" s="239"/>
      <c r="Y5" s="239"/>
      <c r="Z5" s="257"/>
      <c r="AC5" s="264" t="s">
        <v>94</v>
      </c>
      <c r="AD5" s="264"/>
      <c r="AE5" s="78"/>
      <c r="AF5" s="78"/>
      <c r="AG5" s="264" t="s">
        <v>14</v>
      </c>
      <c r="AH5" s="264"/>
      <c r="AI5" s="78"/>
      <c r="AJ5" s="264" t="s">
        <v>95</v>
      </c>
      <c r="AK5" s="264"/>
      <c r="AM5" s="264" t="s">
        <v>110</v>
      </c>
      <c r="AN5" s="264"/>
    </row>
    <row r="6" spans="1:40" s="76" customFormat="1" ht="21.95" customHeight="1" thickBot="1">
      <c r="A6" s="240"/>
      <c r="B6" s="241"/>
      <c r="C6" s="244"/>
      <c r="D6" s="245"/>
      <c r="E6" s="248"/>
      <c r="F6" s="249"/>
      <c r="G6" s="241"/>
      <c r="H6" s="241"/>
      <c r="I6" s="241"/>
      <c r="J6" s="241"/>
      <c r="K6" s="241"/>
      <c r="L6" s="241"/>
      <c r="M6" s="252"/>
      <c r="N6" s="253"/>
      <c r="O6" s="249" t="s">
        <v>11</v>
      </c>
      <c r="P6" s="267"/>
      <c r="Q6" s="268" t="s">
        <v>12</v>
      </c>
      <c r="R6" s="269"/>
      <c r="S6" s="249" t="s">
        <v>3</v>
      </c>
      <c r="T6" s="267"/>
      <c r="U6" s="241"/>
      <c r="V6" s="241"/>
      <c r="W6" s="241"/>
      <c r="X6" s="241"/>
      <c r="Y6" s="241"/>
      <c r="Z6" s="258"/>
      <c r="AC6" s="78" t="s">
        <v>4</v>
      </c>
      <c r="AD6" s="78" t="s">
        <v>18</v>
      </c>
      <c r="AE6" s="78"/>
      <c r="AF6" s="78"/>
      <c r="AG6" s="78" t="s">
        <v>4</v>
      </c>
      <c r="AH6" s="78" t="s">
        <v>18</v>
      </c>
      <c r="AI6" s="78"/>
      <c r="AJ6" s="78" t="s">
        <v>4</v>
      </c>
      <c r="AK6" s="78" t="s">
        <v>18</v>
      </c>
      <c r="AM6" s="76" t="s">
        <v>108</v>
      </c>
      <c r="AN6" s="76" t="s">
        <v>106</v>
      </c>
    </row>
    <row r="7" spans="1:40" s="76" customFormat="1" ht="21.95" customHeight="1">
      <c r="A7" s="277"/>
      <c r="B7" s="278"/>
      <c r="C7" s="279"/>
      <c r="D7" s="280"/>
      <c r="E7" s="280"/>
      <c r="F7" s="281"/>
      <c r="G7" s="282"/>
      <c r="H7" s="282"/>
      <c r="I7" s="282"/>
      <c r="J7" s="282"/>
      <c r="K7" s="283"/>
      <c r="L7" s="283"/>
      <c r="M7" s="265"/>
      <c r="N7" s="371"/>
      <c r="O7" s="271"/>
      <c r="P7" s="272"/>
      <c r="Q7" s="273"/>
      <c r="R7" s="274"/>
      <c r="S7" s="275"/>
      <c r="T7" s="271"/>
      <c r="U7" s="270" t="str">
        <f>IF(C7="","",AC7)</f>
        <v/>
      </c>
      <c r="V7" s="270"/>
      <c r="W7" s="270" t="str">
        <f>IF(C7="","",IF(ISERROR(AD7),#VALUE!,AD7))</f>
        <v/>
      </c>
      <c r="X7" s="270"/>
      <c r="Y7" s="270" t="str">
        <f>IF(C7="","",C7*E7*AM7)</f>
        <v/>
      </c>
      <c r="Z7" s="276"/>
      <c r="AC7" s="76" t="e">
        <f>C7*E7*I7*$U$3*AG7</f>
        <v>#VALUE!</v>
      </c>
      <c r="AD7" s="76" t="e">
        <f>C7*E7*I7*$W$3*AH7</f>
        <v>#VALUE!</v>
      </c>
      <c r="AF7" s="79" t="b">
        <v>0</v>
      </c>
      <c r="AG7" s="76" t="str">
        <f>IF(AF7=TRUE,"0.93",IF(ISERROR(AJ7),"エラー",IF(AJ7&gt;0.93,"0.93",AJ7)))</f>
        <v>エラー</v>
      </c>
      <c r="AH7" s="76" t="str">
        <f>IF(AF7=TRUE,"0.51",IF(ISERROR(AK7),"エラー",IF(AK7&gt;0.72,"0.72",AK7)))</f>
        <v>エラー</v>
      </c>
      <c r="AJ7" s="76" t="e">
        <f>0.01*(16+24*(2*Q7+S7)/O7)</f>
        <v>#DIV/0!</v>
      </c>
      <c r="AK7" s="76" t="e">
        <f>0.01*(10+15*(2*Q7+S7)/O7)</f>
        <v>#DIV/0!</v>
      </c>
      <c r="AM7" s="76">
        <f>IF(共通条件・結果!$Z$6="８地域",G7,IF(AN7="FALSE",G7,IF(K7="風除室",1/((1/G7)+0.1),0.5*G7+0.5*(1/((1/G7)+AN7)))))</f>
        <v>0</v>
      </c>
      <c r="AN7" s="78" t="str">
        <f t="shared" ref="AN7:AN16" si="0">IF(K7="","FALSE",IF(K7="雨戸",0.1,IF(K7="ｼｬｯﾀｰ",0.1,IF(K7="障子",0.18,IF(K7="風除室",0.1)))))</f>
        <v>FALSE</v>
      </c>
    </row>
    <row r="8" spans="1:40" s="76" customFormat="1" ht="21.95" customHeight="1">
      <c r="A8" s="207"/>
      <c r="B8" s="208"/>
      <c r="C8" s="209"/>
      <c r="D8" s="210"/>
      <c r="E8" s="210"/>
      <c r="F8" s="211"/>
      <c r="G8" s="212"/>
      <c r="H8" s="212"/>
      <c r="I8" s="212"/>
      <c r="J8" s="212"/>
      <c r="K8" s="213" t="s">
        <v>85</v>
      </c>
      <c r="L8" s="213"/>
      <c r="M8" s="220"/>
      <c r="N8" s="370"/>
      <c r="O8" s="284"/>
      <c r="P8" s="222"/>
      <c r="Q8" s="285"/>
      <c r="R8" s="286"/>
      <c r="S8" s="225"/>
      <c r="T8" s="284"/>
      <c r="U8" s="205" t="str">
        <f t="shared" ref="U8:U16" si="1">IF(C8="","",AC8)</f>
        <v/>
      </c>
      <c r="V8" s="205"/>
      <c r="W8" s="205" t="str">
        <f t="shared" ref="W8:W16" si="2">IF(C8="","",IF(ISERROR(AD8),#VALUE!,AD8))</f>
        <v/>
      </c>
      <c r="X8" s="205"/>
      <c r="Y8" s="205" t="str">
        <f t="shared" ref="Y8:Y16" si="3">IF(C8="","",C8*E8*AM8)</f>
        <v/>
      </c>
      <c r="Z8" s="206"/>
      <c r="AC8" s="76" t="e">
        <f t="shared" ref="AC8:AC16" si="4">C8*E8*I8*$U$3*AG8</f>
        <v>#VALUE!</v>
      </c>
      <c r="AD8" s="76" t="e">
        <f t="shared" ref="AD8:AD16" si="5">C8*E8*I8*$W$3*AH8</f>
        <v>#VALUE!</v>
      </c>
      <c r="AF8" s="79" t="b">
        <v>0</v>
      </c>
      <c r="AG8" s="76" t="str">
        <f t="shared" ref="AG8:AG16" si="6">IF(AF8=TRUE,"0.93",IF(ISERROR(AJ8),"エラー",IF(AJ8&gt;0.93,"0.93",AJ8)))</f>
        <v>エラー</v>
      </c>
      <c r="AH8" s="76" t="str">
        <f t="shared" ref="AH8:AH16" si="7">IF(AF8=TRUE,"0.51",IF(ISERROR(AK8),"エラー",IF(AK8&gt;0.72,"0.72",AK8)))</f>
        <v>エラー</v>
      </c>
      <c r="AJ8" s="76" t="e">
        <f t="shared" ref="AJ8:AJ16" si="8">0.01*(16+24*(2*Q8+S8)/O8)</f>
        <v>#DIV/0!</v>
      </c>
      <c r="AK8" s="76" t="e">
        <f t="shared" ref="AK8:AK16" si="9">0.01*(10+15*(2*Q8+S8)/O8)</f>
        <v>#DIV/0!</v>
      </c>
      <c r="AM8" s="76" t="e">
        <f>IF(共通条件・結果!$Z$6="８地域",G8,IF(AN8="FALSE",G8,IF(K8="風除室",1/((1/G8)+0.1),0.5*G8+0.5*(1/((1/G8)+AN8)))))</f>
        <v>#DIV/0!</v>
      </c>
      <c r="AN8" s="78" t="b">
        <f t="shared" si="0"/>
        <v>0</v>
      </c>
    </row>
    <row r="9" spans="1:40" s="76" customFormat="1" ht="21.95" customHeight="1">
      <c r="A9" s="207"/>
      <c r="B9" s="208"/>
      <c r="C9" s="209"/>
      <c r="D9" s="210"/>
      <c r="E9" s="210"/>
      <c r="F9" s="211"/>
      <c r="G9" s="212"/>
      <c r="H9" s="212"/>
      <c r="I9" s="212"/>
      <c r="J9" s="212"/>
      <c r="K9" s="213" t="s">
        <v>85</v>
      </c>
      <c r="L9" s="213"/>
      <c r="M9" s="220"/>
      <c r="N9" s="370"/>
      <c r="O9" s="222"/>
      <c r="P9" s="223"/>
      <c r="Q9" s="224"/>
      <c r="R9" s="223"/>
      <c r="S9" s="224"/>
      <c r="T9" s="225"/>
      <c r="U9" s="205" t="str">
        <f t="shared" si="1"/>
        <v/>
      </c>
      <c r="V9" s="205"/>
      <c r="W9" s="205" t="str">
        <f t="shared" si="2"/>
        <v/>
      </c>
      <c r="X9" s="205"/>
      <c r="Y9" s="205" t="str">
        <f t="shared" si="3"/>
        <v/>
      </c>
      <c r="Z9" s="206"/>
      <c r="AC9" s="76" t="e">
        <f t="shared" si="4"/>
        <v>#VALUE!</v>
      </c>
      <c r="AD9" s="76" t="e">
        <f t="shared" si="5"/>
        <v>#VALUE!</v>
      </c>
      <c r="AF9" s="79" t="b">
        <v>0</v>
      </c>
      <c r="AG9" s="76" t="str">
        <f t="shared" si="6"/>
        <v>エラー</v>
      </c>
      <c r="AH9" s="76" t="str">
        <f t="shared" si="7"/>
        <v>エラー</v>
      </c>
      <c r="AJ9" s="76" t="e">
        <f t="shared" si="8"/>
        <v>#DIV/0!</v>
      </c>
      <c r="AK9" s="76" t="e">
        <f t="shared" si="9"/>
        <v>#DIV/0!</v>
      </c>
      <c r="AM9" s="76" t="e">
        <f>IF(共通条件・結果!$Z$6="８地域",G9,IF(AN9="FALSE",G9,IF(K9="風除室",1/((1/G9)+0.1),0.5*G9+0.5*(1/((1/G9)+AN9)))))</f>
        <v>#DIV/0!</v>
      </c>
      <c r="AN9" s="78" t="b">
        <f t="shared" si="0"/>
        <v>0</v>
      </c>
    </row>
    <row r="10" spans="1:40" s="76" customFormat="1" ht="21.95" customHeight="1">
      <c r="A10" s="207"/>
      <c r="B10" s="208"/>
      <c r="C10" s="209"/>
      <c r="D10" s="210"/>
      <c r="E10" s="210"/>
      <c r="F10" s="211"/>
      <c r="G10" s="212"/>
      <c r="H10" s="212"/>
      <c r="I10" s="212"/>
      <c r="J10" s="212"/>
      <c r="K10" s="213" t="s">
        <v>85</v>
      </c>
      <c r="L10" s="213"/>
      <c r="M10" s="220"/>
      <c r="N10" s="370"/>
      <c r="O10" s="222"/>
      <c r="P10" s="223"/>
      <c r="Q10" s="224"/>
      <c r="R10" s="223"/>
      <c r="S10" s="224"/>
      <c r="T10" s="225"/>
      <c r="U10" s="205" t="str">
        <f t="shared" si="1"/>
        <v/>
      </c>
      <c r="V10" s="205"/>
      <c r="W10" s="205" t="str">
        <f t="shared" si="2"/>
        <v/>
      </c>
      <c r="X10" s="205"/>
      <c r="Y10" s="205" t="str">
        <f t="shared" si="3"/>
        <v/>
      </c>
      <c r="Z10" s="206"/>
      <c r="AC10" s="76" t="e">
        <f t="shared" si="4"/>
        <v>#VALUE!</v>
      </c>
      <c r="AD10" s="76" t="e">
        <f t="shared" si="5"/>
        <v>#VALUE!</v>
      </c>
      <c r="AF10" s="79" t="b">
        <v>0</v>
      </c>
      <c r="AG10" s="76" t="str">
        <f t="shared" si="6"/>
        <v>エラー</v>
      </c>
      <c r="AH10" s="76" t="str">
        <f t="shared" si="7"/>
        <v>エラー</v>
      </c>
      <c r="AJ10" s="76" t="e">
        <f t="shared" si="8"/>
        <v>#DIV/0!</v>
      </c>
      <c r="AK10" s="76" t="e">
        <f t="shared" si="9"/>
        <v>#DIV/0!</v>
      </c>
      <c r="AM10" s="76" t="e">
        <f>IF(共通条件・結果!$Z$6="８地域",G10,IF(AN10="FALSE",G10,IF(K10="風除室",1/((1/G10)+0.1),0.5*G10+0.5*(1/((1/G10)+AN10)))))</f>
        <v>#DIV/0!</v>
      </c>
      <c r="AN10" s="78" t="b">
        <f t="shared" si="0"/>
        <v>0</v>
      </c>
    </row>
    <row r="11" spans="1:40" s="76" customFormat="1" ht="21.95" customHeight="1">
      <c r="A11" s="207"/>
      <c r="B11" s="208"/>
      <c r="C11" s="209"/>
      <c r="D11" s="210"/>
      <c r="E11" s="210"/>
      <c r="F11" s="211"/>
      <c r="G11" s="212"/>
      <c r="H11" s="212"/>
      <c r="I11" s="212"/>
      <c r="J11" s="212"/>
      <c r="K11" s="213" t="s">
        <v>85</v>
      </c>
      <c r="L11" s="213"/>
      <c r="M11" s="220"/>
      <c r="N11" s="370"/>
      <c r="O11" s="222"/>
      <c r="P11" s="223"/>
      <c r="Q11" s="224"/>
      <c r="R11" s="223"/>
      <c r="S11" s="224"/>
      <c r="T11" s="225"/>
      <c r="U11" s="205" t="str">
        <f t="shared" si="1"/>
        <v/>
      </c>
      <c r="V11" s="205"/>
      <c r="W11" s="205" t="str">
        <f t="shared" si="2"/>
        <v/>
      </c>
      <c r="X11" s="205"/>
      <c r="Y11" s="205" t="str">
        <f t="shared" si="3"/>
        <v/>
      </c>
      <c r="Z11" s="206"/>
      <c r="AC11" s="76" t="e">
        <f t="shared" si="4"/>
        <v>#VALUE!</v>
      </c>
      <c r="AD11" s="76" t="e">
        <f t="shared" si="5"/>
        <v>#VALUE!</v>
      </c>
      <c r="AF11" s="79" t="b">
        <v>0</v>
      </c>
      <c r="AG11" s="76" t="str">
        <f t="shared" si="6"/>
        <v>エラー</v>
      </c>
      <c r="AH11" s="76" t="str">
        <f t="shared" si="7"/>
        <v>エラー</v>
      </c>
      <c r="AJ11" s="76" t="e">
        <f t="shared" si="8"/>
        <v>#DIV/0!</v>
      </c>
      <c r="AK11" s="76" t="e">
        <f t="shared" si="9"/>
        <v>#DIV/0!</v>
      </c>
      <c r="AM11" s="76" t="e">
        <f>IF(共通条件・結果!$Z$6="８地域",G11,IF(AN11="FALSE",G11,IF(K11="風除室",1/((1/G11)+0.1),0.5*G11+0.5*(1/((1/G11)+AN11)))))</f>
        <v>#DIV/0!</v>
      </c>
      <c r="AN11" s="78" t="b">
        <f t="shared" si="0"/>
        <v>0</v>
      </c>
    </row>
    <row r="12" spans="1:40" s="76" customFormat="1" ht="21.95" customHeight="1">
      <c r="A12" s="207"/>
      <c r="B12" s="208"/>
      <c r="C12" s="209"/>
      <c r="D12" s="210"/>
      <c r="E12" s="210"/>
      <c r="F12" s="211"/>
      <c r="G12" s="212"/>
      <c r="H12" s="212"/>
      <c r="I12" s="212"/>
      <c r="J12" s="212"/>
      <c r="K12" s="213" t="s">
        <v>85</v>
      </c>
      <c r="L12" s="213"/>
      <c r="M12" s="220"/>
      <c r="N12" s="370"/>
      <c r="O12" s="222"/>
      <c r="P12" s="223"/>
      <c r="Q12" s="224"/>
      <c r="R12" s="223"/>
      <c r="S12" s="224"/>
      <c r="T12" s="225"/>
      <c r="U12" s="226" t="str">
        <f t="shared" si="1"/>
        <v/>
      </c>
      <c r="V12" s="227"/>
      <c r="W12" s="205" t="str">
        <f t="shared" si="2"/>
        <v/>
      </c>
      <c r="X12" s="205"/>
      <c r="Y12" s="205" t="str">
        <f t="shared" si="3"/>
        <v/>
      </c>
      <c r="Z12" s="206"/>
      <c r="AC12" s="76" t="e">
        <f t="shared" si="4"/>
        <v>#VALUE!</v>
      </c>
      <c r="AD12" s="76" t="e">
        <f t="shared" si="5"/>
        <v>#VALUE!</v>
      </c>
      <c r="AF12" s="79" t="b">
        <v>0</v>
      </c>
      <c r="AG12" s="76" t="str">
        <f t="shared" si="6"/>
        <v>エラー</v>
      </c>
      <c r="AH12" s="76" t="str">
        <f t="shared" si="7"/>
        <v>エラー</v>
      </c>
      <c r="AJ12" s="76" t="e">
        <f t="shared" si="8"/>
        <v>#DIV/0!</v>
      </c>
      <c r="AK12" s="76" t="e">
        <f t="shared" si="9"/>
        <v>#DIV/0!</v>
      </c>
      <c r="AM12" s="76" t="e">
        <f>IF(共通条件・結果!$Z$6="８地域",G12,IF(AN12="FALSE",G12,IF(K12="風除室",1/((1/G12)+0.1),0.5*G12+0.5*(1/((1/G12)+AN12)))))</f>
        <v>#DIV/0!</v>
      </c>
      <c r="AN12" s="78" t="b">
        <f t="shared" si="0"/>
        <v>0</v>
      </c>
    </row>
    <row r="13" spans="1:40" s="76" customFormat="1" ht="21.95" customHeight="1">
      <c r="A13" s="207"/>
      <c r="B13" s="208"/>
      <c r="C13" s="209"/>
      <c r="D13" s="210"/>
      <c r="E13" s="210"/>
      <c r="F13" s="211"/>
      <c r="G13" s="212"/>
      <c r="H13" s="212"/>
      <c r="I13" s="212"/>
      <c r="J13" s="212"/>
      <c r="K13" s="213" t="s">
        <v>85</v>
      </c>
      <c r="L13" s="213"/>
      <c r="M13" s="220"/>
      <c r="N13" s="370"/>
      <c r="O13" s="222"/>
      <c r="P13" s="223"/>
      <c r="Q13" s="224"/>
      <c r="R13" s="223"/>
      <c r="S13" s="224"/>
      <c r="T13" s="225"/>
      <c r="U13" s="226" t="str">
        <f t="shared" si="1"/>
        <v/>
      </c>
      <c r="V13" s="227"/>
      <c r="W13" s="205" t="str">
        <f t="shared" si="2"/>
        <v/>
      </c>
      <c r="X13" s="205"/>
      <c r="Y13" s="205" t="str">
        <f t="shared" si="3"/>
        <v/>
      </c>
      <c r="Z13" s="206"/>
      <c r="AC13" s="76" t="e">
        <f t="shared" si="4"/>
        <v>#VALUE!</v>
      </c>
      <c r="AD13" s="76" t="e">
        <f t="shared" si="5"/>
        <v>#VALUE!</v>
      </c>
      <c r="AF13" s="79" t="b">
        <v>0</v>
      </c>
      <c r="AG13" s="76" t="str">
        <f t="shared" si="6"/>
        <v>エラー</v>
      </c>
      <c r="AH13" s="76" t="str">
        <f t="shared" si="7"/>
        <v>エラー</v>
      </c>
      <c r="AJ13" s="76" t="e">
        <f t="shared" si="8"/>
        <v>#DIV/0!</v>
      </c>
      <c r="AK13" s="76" t="e">
        <f t="shared" si="9"/>
        <v>#DIV/0!</v>
      </c>
      <c r="AM13" s="76" t="e">
        <f>IF(共通条件・結果!$Z$6="８地域",G13,IF(AN13="FALSE",G13,IF(K13="風除室",1/((1/G13)+0.1),0.5*G13+0.5*(1/((1/G13)+AN13)))))</f>
        <v>#DIV/0!</v>
      </c>
      <c r="AN13" s="78" t="b">
        <f t="shared" si="0"/>
        <v>0</v>
      </c>
    </row>
    <row r="14" spans="1:40" s="76" customFormat="1" ht="21.95" customHeight="1">
      <c r="A14" s="207"/>
      <c r="B14" s="208"/>
      <c r="C14" s="209"/>
      <c r="D14" s="210"/>
      <c r="E14" s="210"/>
      <c r="F14" s="211"/>
      <c r="G14" s="212"/>
      <c r="H14" s="212"/>
      <c r="I14" s="212"/>
      <c r="J14" s="212"/>
      <c r="K14" s="213" t="s">
        <v>85</v>
      </c>
      <c r="L14" s="213"/>
      <c r="M14" s="220"/>
      <c r="N14" s="370"/>
      <c r="O14" s="284"/>
      <c r="P14" s="222"/>
      <c r="Q14" s="224"/>
      <c r="R14" s="223"/>
      <c r="S14" s="224"/>
      <c r="T14" s="225"/>
      <c r="U14" s="226" t="str">
        <f t="shared" si="1"/>
        <v/>
      </c>
      <c r="V14" s="227"/>
      <c r="W14" s="205" t="str">
        <f t="shared" si="2"/>
        <v/>
      </c>
      <c r="X14" s="205"/>
      <c r="Y14" s="205" t="str">
        <f t="shared" si="3"/>
        <v/>
      </c>
      <c r="Z14" s="206"/>
      <c r="AC14" s="76" t="e">
        <f t="shared" si="4"/>
        <v>#VALUE!</v>
      </c>
      <c r="AD14" s="76" t="e">
        <f t="shared" si="5"/>
        <v>#VALUE!</v>
      </c>
      <c r="AF14" s="79" t="b">
        <v>0</v>
      </c>
      <c r="AG14" s="76" t="str">
        <f t="shared" si="6"/>
        <v>エラー</v>
      </c>
      <c r="AH14" s="76" t="str">
        <f t="shared" si="7"/>
        <v>エラー</v>
      </c>
      <c r="AJ14" s="76" t="e">
        <f t="shared" si="8"/>
        <v>#DIV/0!</v>
      </c>
      <c r="AK14" s="76" t="e">
        <f t="shared" si="9"/>
        <v>#DIV/0!</v>
      </c>
      <c r="AM14" s="76" t="e">
        <f>IF(共通条件・結果!$Z$6="８地域",G14,IF(AN14="FALSE",G14,IF(K14="風除室",1/((1/G14)+0.1),0.5*G14+0.5*(1/((1/G14)+AN14)))))</f>
        <v>#DIV/0!</v>
      </c>
      <c r="AN14" s="78" t="b">
        <f t="shared" si="0"/>
        <v>0</v>
      </c>
    </row>
    <row r="15" spans="1:40" s="76" customFormat="1" ht="21.95" customHeight="1">
      <c r="A15" s="207"/>
      <c r="B15" s="208"/>
      <c r="C15" s="209"/>
      <c r="D15" s="210"/>
      <c r="E15" s="210"/>
      <c r="F15" s="211"/>
      <c r="G15" s="212"/>
      <c r="H15" s="212"/>
      <c r="I15" s="212"/>
      <c r="J15" s="212"/>
      <c r="K15" s="213" t="s">
        <v>85</v>
      </c>
      <c r="L15" s="213"/>
      <c r="M15" s="220"/>
      <c r="N15" s="370"/>
      <c r="O15" s="284"/>
      <c r="P15" s="222"/>
      <c r="Q15" s="285"/>
      <c r="R15" s="286"/>
      <c r="S15" s="225"/>
      <c r="T15" s="284"/>
      <c r="U15" s="226" t="str">
        <f t="shared" si="1"/>
        <v/>
      </c>
      <c r="V15" s="227"/>
      <c r="W15" s="205" t="str">
        <f t="shared" si="2"/>
        <v/>
      </c>
      <c r="X15" s="205"/>
      <c r="Y15" s="205" t="str">
        <f t="shared" si="3"/>
        <v/>
      </c>
      <c r="Z15" s="206"/>
      <c r="AC15" s="76" t="e">
        <f t="shared" si="4"/>
        <v>#VALUE!</v>
      </c>
      <c r="AD15" s="76" t="e">
        <f t="shared" si="5"/>
        <v>#VALUE!</v>
      </c>
      <c r="AF15" s="79" t="b">
        <v>0</v>
      </c>
      <c r="AG15" s="76" t="str">
        <f t="shared" si="6"/>
        <v>エラー</v>
      </c>
      <c r="AH15" s="76" t="str">
        <f t="shared" si="7"/>
        <v>エラー</v>
      </c>
      <c r="AJ15" s="76" t="e">
        <f t="shared" si="8"/>
        <v>#DIV/0!</v>
      </c>
      <c r="AK15" s="76" t="e">
        <f t="shared" si="9"/>
        <v>#DIV/0!</v>
      </c>
      <c r="AM15" s="76" t="e">
        <f>IF(共通条件・結果!$Z$6="８地域",G15,IF(AN15="FALSE",G15,IF(K15="風除室",1/((1/G15)+0.1),0.5*G15+0.5*(1/((1/G15)+AN15)))))</f>
        <v>#DIV/0!</v>
      </c>
      <c r="AN15" s="78" t="b">
        <f t="shared" si="0"/>
        <v>0</v>
      </c>
    </row>
    <row r="16" spans="1:40" s="76" customFormat="1" ht="21.95" customHeight="1" thickBot="1">
      <c r="A16" s="306"/>
      <c r="B16" s="307"/>
      <c r="C16" s="308"/>
      <c r="D16" s="295"/>
      <c r="E16" s="295"/>
      <c r="F16" s="296"/>
      <c r="G16" s="294"/>
      <c r="H16" s="294"/>
      <c r="I16" s="294"/>
      <c r="J16" s="294"/>
      <c r="K16" s="283" t="s">
        <v>85</v>
      </c>
      <c r="L16" s="283"/>
      <c r="M16" s="287"/>
      <c r="N16" s="369"/>
      <c r="O16" s="289"/>
      <c r="P16" s="290"/>
      <c r="Q16" s="291"/>
      <c r="R16" s="292"/>
      <c r="S16" s="293"/>
      <c r="T16" s="289"/>
      <c r="U16" s="226" t="str">
        <f t="shared" si="1"/>
        <v/>
      </c>
      <c r="V16" s="227"/>
      <c r="W16" s="205" t="str">
        <f t="shared" si="2"/>
        <v/>
      </c>
      <c r="X16" s="205"/>
      <c r="Y16" s="300" t="str">
        <f t="shared" si="3"/>
        <v/>
      </c>
      <c r="Z16" s="301"/>
      <c r="AC16" s="76" t="e">
        <f t="shared" si="4"/>
        <v>#VALUE!</v>
      </c>
      <c r="AD16" s="76" t="e">
        <f t="shared" si="5"/>
        <v>#VALUE!</v>
      </c>
      <c r="AF16" s="79" t="b">
        <v>0</v>
      </c>
      <c r="AG16" s="76" t="str">
        <f t="shared" si="6"/>
        <v>エラー</v>
      </c>
      <c r="AH16" s="76" t="str">
        <f t="shared" si="7"/>
        <v>エラー</v>
      </c>
      <c r="AJ16" s="76" t="e">
        <f t="shared" si="8"/>
        <v>#DIV/0!</v>
      </c>
      <c r="AK16" s="76" t="e">
        <f t="shared" si="9"/>
        <v>#DIV/0!</v>
      </c>
      <c r="AM16" s="76" t="e">
        <f>IF(共通条件・結果!$Z$6="８地域",G16,IF(AN16="FALSE",G16,IF(K16="風除室",1/((1/G16)+0.1),0.5*G16+0.5*(1/((1/G16)+AN16)))))</f>
        <v>#DIV/0!</v>
      </c>
      <c r="AN16" s="78" t="b">
        <f t="shared" si="0"/>
        <v>0</v>
      </c>
    </row>
    <row r="17" spans="1:40" s="76" customFormat="1" ht="21.95" customHeight="1" thickBot="1">
      <c r="A17" s="302" t="s">
        <v>162</v>
      </c>
      <c r="B17" s="303"/>
      <c r="C17" s="303"/>
      <c r="D17" s="303"/>
      <c r="E17" s="303"/>
      <c r="F17" s="303"/>
      <c r="G17" s="303"/>
      <c r="H17" s="303"/>
      <c r="I17" s="303"/>
      <c r="J17" s="303"/>
      <c r="K17" s="303"/>
      <c r="L17" s="303"/>
      <c r="M17" s="303"/>
      <c r="N17" s="303"/>
      <c r="O17" s="303"/>
      <c r="P17" s="303"/>
      <c r="Q17" s="303"/>
      <c r="R17" s="303"/>
      <c r="S17" s="303"/>
      <c r="T17" s="303"/>
      <c r="U17" s="304">
        <f>SUM(U7:V16)</f>
        <v>0</v>
      </c>
      <c r="V17" s="304"/>
      <c r="W17" s="304">
        <f>SUM(W7:X16)</f>
        <v>0</v>
      </c>
      <c r="X17" s="304"/>
      <c r="Y17" s="304">
        <f>SUM(Y7:Z16)</f>
        <v>0</v>
      </c>
      <c r="Z17" s="305"/>
    </row>
    <row r="18" spans="1:40" s="76" customFormat="1" ht="9.9499999999999993" customHeight="1">
      <c r="AM18" s="264"/>
      <c r="AN18" s="264"/>
    </row>
    <row r="19" spans="1:40" s="76" customFormat="1" ht="21.95" customHeight="1" thickBot="1">
      <c r="I19" s="77" t="s">
        <v>15</v>
      </c>
      <c r="J19" s="77"/>
      <c r="K19" s="77"/>
    </row>
    <row r="20" spans="1:40" s="76" customFormat="1" ht="21.95" customHeight="1">
      <c r="I20" s="352" t="s">
        <v>16</v>
      </c>
      <c r="J20" s="356"/>
      <c r="K20" s="356"/>
      <c r="L20" s="353"/>
      <c r="M20" s="237" t="s">
        <v>113</v>
      </c>
      <c r="N20" s="237"/>
      <c r="O20" s="237"/>
      <c r="P20" s="237"/>
      <c r="Q20" s="237" t="s">
        <v>7</v>
      </c>
      <c r="R20" s="237"/>
      <c r="S20" s="366" t="s">
        <v>10</v>
      </c>
      <c r="T20" s="367"/>
      <c r="U20" s="254" t="s">
        <v>88</v>
      </c>
      <c r="V20" s="237"/>
      <c r="W20" s="254" t="s">
        <v>87</v>
      </c>
      <c r="X20" s="237"/>
      <c r="Y20" s="237" t="s">
        <v>13</v>
      </c>
      <c r="Z20" s="256"/>
      <c r="AM20" s="264" t="s">
        <v>110</v>
      </c>
      <c r="AN20" s="264"/>
    </row>
    <row r="21" spans="1:40" s="76" customFormat="1" ht="21.95" customHeight="1" thickBot="1">
      <c r="I21" s="354"/>
      <c r="J21" s="248"/>
      <c r="K21" s="248"/>
      <c r="L21" s="249"/>
      <c r="M21" s="297" t="s">
        <v>9</v>
      </c>
      <c r="N21" s="298"/>
      <c r="O21" s="299" t="s">
        <v>8</v>
      </c>
      <c r="P21" s="241"/>
      <c r="Q21" s="241"/>
      <c r="R21" s="241"/>
      <c r="S21" s="368"/>
      <c r="T21" s="368"/>
      <c r="U21" s="241"/>
      <c r="V21" s="241"/>
      <c r="W21" s="241"/>
      <c r="X21" s="241"/>
      <c r="Y21" s="241"/>
      <c r="Z21" s="258"/>
      <c r="AM21" s="76" t="s">
        <v>108</v>
      </c>
      <c r="AN21" s="76" t="s">
        <v>106</v>
      </c>
    </row>
    <row r="22" spans="1:40" s="76" customFormat="1" ht="21.95" customHeight="1">
      <c r="B22" s="80"/>
      <c r="C22" s="80"/>
      <c r="D22" s="80"/>
      <c r="E22" s="80"/>
      <c r="F22" s="80"/>
      <c r="G22" s="80"/>
      <c r="H22" s="80"/>
      <c r="I22" s="218"/>
      <c r="J22" s="357"/>
      <c r="K22" s="357"/>
      <c r="L22" s="219"/>
      <c r="M22" s="279"/>
      <c r="N22" s="280"/>
      <c r="O22" s="280"/>
      <c r="P22" s="281"/>
      <c r="Q22" s="338"/>
      <c r="R22" s="338"/>
      <c r="S22" s="283"/>
      <c r="T22" s="283"/>
      <c r="U22" s="300" t="str">
        <f>IF(M22="","",M22*O22*Q22*0.034*$U$3)</f>
        <v/>
      </c>
      <c r="V22" s="300"/>
      <c r="W22" s="300" t="str">
        <f>IF(M22="","",IF(ISERROR(M22*O22*Q22*0.034*$W$3),"-",M22*O22*Q22*0.034*$W$3))</f>
        <v/>
      </c>
      <c r="X22" s="300"/>
      <c r="Y22" s="300" t="str">
        <f>IF(M22="","",M22*O22*AM22)</f>
        <v/>
      </c>
      <c r="Z22" s="301"/>
      <c r="AM22" s="76">
        <f>IF(共通条件・結果!$Z$6="８地域",Q22,IF(AN22="FALSE",Q22,IF(S22="風除室",1/((1/Q22)+0.1),0.5*Q22+0.5*(1/((1/Q22)+AN22)))))</f>
        <v>0</v>
      </c>
      <c r="AN22" s="78" t="str">
        <f>IF(S22="","FALSE",IF(S22="雨戸",0.1,IF(S22="ｼｬｯﾀｰ",0.1,IF(S22="障子",0.18,IF(S22="風除室",0.1)))))</f>
        <v>FALSE</v>
      </c>
    </row>
    <row r="23" spans="1:40" s="76" customFormat="1" ht="21.95" customHeight="1" thickBot="1">
      <c r="B23" s="80"/>
      <c r="C23" s="80"/>
      <c r="D23" s="80"/>
      <c r="E23" s="80"/>
      <c r="F23" s="80"/>
      <c r="G23" s="80"/>
      <c r="H23" s="80"/>
      <c r="I23" s="214"/>
      <c r="J23" s="358"/>
      <c r="K23" s="358"/>
      <c r="L23" s="215"/>
      <c r="M23" s="308"/>
      <c r="N23" s="295"/>
      <c r="O23" s="295"/>
      <c r="P23" s="296"/>
      <c r="Q23" s="294"/>
      <c r="R23" s="294"/>
      <c r="S23" s="213" t="s">
        <v>85</v>
      </c>
      <c r="T23" s="213"/>
      <c r="U23" s="350" t="str">
        <f>IF(M23="","",M23*O23*Q23*0.034*$U$3)</f>
        <v/>
      </c>
      <c r="V23" s="350"/>
      <c r="W23" s="350" t="str">
        <f>IF(M23="","",IF(ISERROR(M23*O23*Q23*0.034*$W$3),"-",M23*O23*Q23*0.034*$W$3))</f>
        <v/>
      </c>
      <c r="X23" s="350"/>
      <c r="Y23" s="350" t="str">
        <f>IF(M23="","",M23*O23*AM23)</f>
        <v/>
      </c>
      <c r="Z23" s="351"/>
      <c r="AM23" s="76" t="e">
        <f>IF(共通条件・結果!$Z$6="８地域",Q23,IF(AN23="FALSE",Q23,IF(S23="風除室",1/((1/Q23)+0.1),0.5*Q23+0.5*(1/((1/Q23)+AN23)))))</f>
        <v>#DIV/0!</v>
      </c>
      <c r="AN23" s="78" t="b">
        <f>IF(S23="","FALSE",IF(S23="雨戸",0.1,IF(S23="ｼｬｯﾀｰ",0.1,IF(S23="障子",0.18,IF(S23="風除室",0.1)))))</f>
        <v>0</v>
      </c>
    </row>
    <row r="24" spans="1:40" s="76" customFormat="1" ht="21.95" customHeight="1" thickBot="1">
      <c r="B24" s="80"/>
      <c r="C24" s="80"/>
      <c r="D24" s="80"/>
      <c r="E24" s="80"/>
      <c r="F24" s="80"/>
      <c r="G24" s="80"/>
      <c r="H24" s="80"/>
      <c r="I24" s="302" t="s">
        <v>178</v>
      </c>
      <c r="J24" s="303"/>
      <c r="K24" s="303"/>
      <c r="L24" s="303"/>
      <c r="M24" s="303"/>
      <c r="N24" s="303"/>
      <c r="O24" s="303"/>
      <c r="P24" s="303"/>
      <c r="Q24" s="303"/>
      <c r="R24" s="303"/>
      <c r="S24" s="303"/>
      <c r="T24" s="355"/>
      <c r="U24" s="304">
        <f>SUM(U22:V23)</f>
        <v>0</v>
      </c>
      <c r="V24" s="304"/>
      <c r="W24" s="304">
        <f>SUM(W22:X23)</f>
        <v>0</v>
      </c>
      <c r="X24" s="304"/>
      <c r="Y24" s="304">
        <f>SUM(Y22:Z23)</f>
        <v>0</v>
      </c>
      <c r="Z24" s="305"/>
      <c r="AN24" s="78"/>
    </row>
    <row r="25" spans="1:40" s="76" customFormat="1" ht="9.9499999999999993" customHeight="1">
      <c r="B25" s="80"/>
      <c r="C25" s="80"/>
      <c r="D25" s="80"/>
      <c r="E25" s="80"/>
      <c r="F25" s="80"/>
      <c r="G25" s="80"/>
      <c r="H25" s="80"/>
      <c r="I25" s="80"/>
      <c r="AN25" s="78"/>
    </row>
    <row r="26" spans="1:40" s="76" customFormat="1" ht="21.95" customHeight="1" thickBot="1">
      <c r="B26" s="80"/>
      <c r="C26" s="80"/>
      <c r="D26" s="80"/>
      <c r="E26" s="80"/>
      <c r="F26" s="80"/>
      <c r="G26" s="80"/>
      <c r="H26" s="80"/>
      <c r="I26" s="77" t="s">
        <v>17</v>
      </c>
      <c r="J26" s="77"/>
      <c r="K26" s="77"/>
      <c r="AN26" s="78"/>
    </row>
    <row r="27" spans="1:40" s="76" customFormat="1" ht="21.95" customHeight="1">
      <c r="B27" s="80"/>
      <c r="C27" s="80"/>
      <c r="D27" s="80"/>
      <c r="E27" s="80"/>
      <c r="F27" s="80"/>
      <c r="G27" s="80"/>
      <c r="H27" s="80"/>
      <c r="I27" s="352" t="s">
        <v>0</v>
      </c>
      <c r="J27" s="353"/>
      <c r="K27" s="363" t="s">
        <v>62</v>
      </c>
      <c r="L27" s="364"/>
      <c r="M27" s="363" t="s">
        <v>200</v>
      </c>
      <c r="N27" s="364"/>
      <c r="O27" s="339" t="s">
        <v>63</v>
      </c>
      <c r="P27" s="340"/>
      <c r="Q27" s="237" t="s">
        <v>7</v>
      </c>
      <c r="R27" s="237"/>
      <c r="S27" s="359" t="s">
        <v>180</v>
      </c>
      <c r="T27" s="360"/>
      <c r="U27" s="254" t="s">
        <v>88</v>
      </c>
      <c r="V27" s="237"/>
      <c r="W27" s="254" t="s">
        <v>87</v>
      </c>
      <c r="X27" s="237"/>
      <c r="Y27" s="237" t="s">
        <v>13</v>
      </c>
      <c r="Z27" s="256"/>
      <c r="AN27" s="78"/>
    </row>
    <row r="28" spans="1:40" s="76" customFormat="1" ht="21.95" customHeight="1" thickBot="1">
      <c r="B28" s="80"/>
      <c r="C28" s="80"/>
      <c r="D28" s="80"/>
      <c r="E28" s="80"/>
      <c r="F28" s="80"/>
      <c r="G28" s="80"/>
      <c r="H28" s="80"/>
      <c r="I28" s="354"/>
      <c r="J28" s="249"/>
      <c r="K28" s="252"/>
      <c r="L28" s="365"/>
      <c r="M28" s="252"/>
      <c r="N28" s="365"/>
      <c r="O28" s="341"/>
      <c r="P28" s="342"/>
      <c r="Q28" s="241"/>
      <c r="R28" s="241"/>
      <c r="S28" s="361"/>
      <c r="T28" s="362"/>
      <c r="U28" s="241"/>
      <c r="V28" s="241"/>
      <c r="W28" s="241"/>
      <c r="X28" s="241"/>
      <c r="Y28" s="241"/>
      <c r="Z28" s="258"/>
      <c r="AD28" s="76" t="s">
        <v>170</v>
      </c>
      <c r="AE28" s="76" t="s">
        <v>171</v>
      </c>
    </row>
    <row r="29" spans="1:40" s="76" customFormat="1" ht="21.95" customHeight="1">
      <c r="B29" s="80"/>
      <c r="C29" s="80"/>
      <c r="D29" s="80"/>
      <c r="E29" s="80"/>
      <c r="F29" s="80"/>
      <c r="G29" s="80"/>
      <c r="H29" s="80"/>
      <c r="I29" s="218"/>
      <c r="J29" s="219"/>
      <c r="K29" s="334"/>
      <c r="L29" s="335"/>
      <c r="M29" s="334"/>
      <c r="N29" s="335"/>
      <c r="O29" s="336" t="str">
        <f>IF(K29="","",K29-M29)</f>
        <v/>
      </c>
      <c r="P29" s="337"/>
      <c r="Q29" s="338"/>
      <c r="R29" s="338"/>
      <c r="S29" s="338"/>
      <c r="T29" s="338"/>
      <c r="U29" s="205" t="str">
        <f>IF(O29="","",IF(AC29=TRUE,0,O29*Q29*0.034*$U$3))</f>
        <v/>
      </c>
      <c r="V29" s="205"/>
      <c r="W29" s="226" t="str">
        <f>IF(O29="","",IF(ISERROR(O29*Q29*0.034*$W$3),"-",IF(AC29=TRUE,0,O29*Q29*0.034*$W$3)))</f>
        <v/>
      </c>
      <c r="X29" s="227"/>
      <c r="Y29" s="270" t="str">
        <f>IF(Q29="","",IF(AC29=TRUE,0.7*Q29*O29,Q29*O29))</f>
        <v/>
      </c>
      <c r="Z29" s="276"/>
      <c r="AC29" s="79" t="b">
        <v>0</v>
      </c>
      <c r="AD29" s="79">
        <f>IF(AC29=TRUE,0.7,1)</f>
        <v>1</v>
      </c>
      <c r="AE29" s="79" t="str">
        <f>IF(AC29=TRUE,0,"セル")</f>
        <v>セル</v>
      </c>
    </row>
    <row r="30" spans="1:40" s="76" customFormat="1" ht="21.95" customHeight="1">
      <c r="B30" s="80"/>
      <c r="C30" s="80"/>
      <c r="D30" s="80"/>
      <c r="E30" s="80"/>
      <c r="F30" s="80"/>
      <c r="G30" s="80"/>
      <c r="H30" s="80"/>
      <c r="I30" s="216"/>
      <c r="J30" s="217"/>
      <c r="K30" s="332"/>
      <c r="L30" s="333"/>
      <c r="M30" s="332"/>
      <c r="N30" s="333"/>
      <c r="O30" s="330" t="str">
        <f>IF(K30="","",K30-M30)</f>
        <v/>
      </c>
      <c r="P30" s="331"/>
      <c r="Q30" s="212"/>
      <c r="R30" s="212"/>
      <c r="S30" s="212"/>
      <c r="T30" s="212"/>
      <c r="U30" s="205" t="str">
        <f>IF(O30="","",IF(AC30=TRUE,0,O30*Q30*0.034*$U$3))</f>
        <v/>
      </c>
      <c r="V30" s="205"/>
      <c r="W30" s="226" t="str">
        <f>IF(O30="","",IF(ISERROR(O30*Q30*0.034*$W$3),"-",IF(AC30=TRUE,0,O30*Q30*0.034*$W$3)))</f>
        <v/>
      </c>
      <c r="X30" s="227"/>
      <c r="Y30" s="205" t="str">
        <f>IF(Q30="","",IF(AC30=TRUE,0.7*Q30*O30,Q30*O30))</f>
        <v/>
      </c>
      <c r="Z30" s="206"/>
      <c r="AC30" s="79" t="b">
        <v>0</v>
      </c>
      <c r="AD30" s="79">
        <f>IF(AC30=TRUE,0.7,1)</f>
        <v>1</v>
      </c>
      <c r="AE30" s="79" t="str">
        <f>IF(AC30=TRUE,0,"セル")</f>
        <v>セル</v>
      </c>
    </row>
    <row r="31" spans="1:40" s="76" customFormat="1" ht="21.95" customHeight="1" thickBot="1">
      <c r="I31" s="214"/>
      <c r="J31" s="215"/>
      <c r="K31" s="345"/>
      <c r="L31" s="346"/>
      <c r="M31" s="345"/>
      <c r="N31" s="346"/>
      <c r="O31" s="347" t="str">
        <f>IF(K31="","",K31-M31)</f>
        <v/>
      </c>
      <c r="P31" s="348"/>
      <c r="Q31" s="349"/>
      <c r="R31" s="349"/>
      <c r="S31" s="349"/>
      <c r="T31" s="349"/>
      <c r="U31" s="300" t="str">
        <f>IF(O31="","",IF(AC31=TRUE,0,O31*Q31*0.034*$U$3))</f>
        <v/>
      </c>
      <c r="V31" s="300"/>
      <c r="W31" s="343" t="str">
        <f>IF(O31="","",IF(ISERROR(O31*Q31*0.034*$W$3),"-",IF(AC31=TRUE,0,O31*Q31*0.034*$W$3)))</f>
        <v/>
      </c>
      <c r="X31" s="344"/>
      <c r="Y31" s="300" t="str">
        <f>IF(Q31="","",IF(AC31=TRUE,0.7*Q31*O31,Q31*O31))</f>
        <v/>
      </c>
      <c r="Z31" s="301"/>
      <c r="AC31" s="79" t="b">
        <v>0</v>
      </c>
      <c r="AD31" s="79">
        <f>IF(AC31=TRUE,0.7,1)</f>
        <v>1</v>
      </c>
      <c r="AE31" s="79" t="str">
        <f>IF(AC31=TRUE,0,"セル")</f>
        <v>セル</v>
      </c>
    </row>
    <row r="32" spans="1:40" s="76" customFormat="1" ht="21.95" customHeight="1" thickBot="1">
      <c r="I32" s="302" t="s">
        <v>163</v>
      </c>
      <c r="J32" s="303"/>
      <c r="K32" s="303"/>
      <c r="L32" s="303"/>
      <c r="M32" s="303"/>
      <c r="N32" s="303"/>
      <c r="O32" s="303"/>
      <c r="P32" s="303"/>
      <c r="Q32" s="303"/>
      <c r="R32" s="303"/>
      <c r="S32" s="303"/>
      <c r="T32" s="355"/>
      <c r="U32" s="304">
        <f>SUM(U29:V31)</f>
        <v>0</v>
      </c>
      <c r="V32" s="304"/>
      <c r="W32" s="304">
        <f>SUM(W29:X31)</f>
        <v>0</v>
      </c>
      <c r="X32" s="304"/>
      <c r="Y32" s="304">
        <f>SUM(Y29:Z31)</f>
        <v>0</v>
      </c>
      <c r="Z32" s="305"/>
    </row>
    <row r="33" spans="1:26" s="76" customFormat="1" ht="9.9499999999999993" customHeight="1"/>
    <row r="34" spans="1:26" s="76" customFormat="1" ht="21.95" customHeight="1" thickBot="1">
      <c r="A34" s="77" t="s">
        <v>164</v>
      </c>
    </row>
    <row r="35" spans="1:26" s="76" customFormat="1" ht="21.95" customHeight="1">
      <c r="A35" s="309" t="s">
        <v>135</v>
      </c>
      <c r="B35" s="310"/>
      <c r="C35" s="323" t="s">
        <v>65</v>
      </c>
      <c r="D35" s="324"/>
      <c r="E35" s="324"/>
      <c r="F35" s="324"/>
      <c r="G35" s="324"/>
      <c r="H35" s="324"/>
      <c r="I35" s="325"/>
      <c r="J35" s="81"/>
      <c r="K35" s="319">
        <f>P35+T35+X35</f>
        <v>0</v>
      </c>
      <c r="L35" s="319"/>
      <c r="M35" s="319"/>
      <c r="N35" s="81" t="s">
        <v>24</v>
      </c>
      <c r="O35" s="82" t="s">
        <v>23</v>
      </c>
      <c r="P35" s="320">
        <f>C7*E7+C8*E8+C9*E9+C10*E10+C11*E11+C12*E12+C13*E13+C14*E14+C15*E15+C16*E16</f>
        <v>0</v>
      </c>
      <c r="Q35" s="320"/>
      <c r="R35" s="83" t="s">
        <v>25</v>
      </c>
      <c r="S35" s="83" t="s">
        <v>22</v>
      </c>
      <c r="T35" s="321">
        <f>M22*O22+M23*O23</f>
        <v>0</v>
      </c>
      <c r="U35" s="321"/>
      <c r="V35" s="83" t="s">
        <v>25</v>
      </c>
      <c r="W35" s="83" t="s">
        <v>1</v>
      </c>
      <c r="X35" s="322">
        <f>SUM(O29:P31)</f>
        <v>0</v>
      </c>
      <c r="Y35" s="322"/>
      <c r="Z35" s="84" t="s">
        <v>19</v>
      </c>
    </row>
    <row r="36" spans="1:26" s="76" customFormat="1" ht="21.95" customHeight="1">
      <c r="A36" s="311"/>
      <c r="B36" s="312"/>
      <c r="C36" s="315" t="s">
        <v>92</v>
      </c>
      <c r="D36" s="316"/>
      <c r="E36" s="316"/>
      <c r="F36" s="316"/>
      <c r="G36" s="316"/>
      <c r="H36" s="316"/>
      <c r="I36" s="317"/>
      <c r="J36" s="85"/>
      <c r="K36" s="85"/>
      <c r="L36" s="85"/>
      <c r="M36" s="85"/>
      <c r="N36" s="85"/>
      <c r="O36" s="85"/>
      <c r="P36" s="85"/>
      <c r="Q36" s="85"/>
      <c r="R36" s="85"/>
      <c r="S36" s="85"/>
      <c r="T36" s="85"/>
      <c r="U36" s="85"/>
      <c r="V36" s="318">
        <f>U17+U24+U32</f>
        <v>0</v>
      </c>
      <c r="W36" s="318"/>
      <c r="X36" s="318"/>
      <c r="Y36" s="85"/>
      <c r="Z36" s="86"/>
    </row>
    <row r="37" spans="1:26" s="76" customFormat="1" ht="21.95" customHeight="1">
      <c r="A37" s="311"/>
      <c r="B37" s="312"/>
      <c r="C37" s="315" t="s">
        <v>93</v>
      </c>
      <c r="D37" s="316"/>
      <c r="E37" s="316"/>
      <c r="F37" s="316"/>
      <c r="G37" s="316"/>
      <c r="H37" s="316"/>
      <c r="I37" s="317"/>
      <c r="J37" s="85"/>
      <c r="K37" s="85"/>
      <c r="L37" s="85"/>
      <c r="M37" s="85"/>
      <c r="N37" s="85"/>
      <c r="O37" s="85"/>
      <c r="P37" s="85"/>
      <c r="Q37" s="85"/>
      <c r="R37" s="85"/>
      <c r="S37" s="85"/>
      <c r="T37" s="85"/>
      <c r="U37" s="85"/>
      <c r="V37" s="318">
        <f>W17+W24+W32</f>
        <v>0</v>
      </c>
      <c r="W37" s="318"/>
      <c r="X37" s="318"/>
      <c r="Y37" s="85"/>
      <c r="Z37" s="86"/>
    </row>
    <row r="38" spans="1:26" s="76" customFormat="1" ht="21.95" customHeight="1" thickBot="1">
      <c r="A38" s="313"/>
      <c r="B38" s="314"/>
      <c r="C38" s="326" t="s">
        <v>20</v>
      </c>
      <c r="D38" s="327"/>
      <c r="E38" s="327"/>
      <c r="F38" s="327"/>
      <c r="G38" s="327"/>
      <c r="H38" s="327"/>
      <c r="I38" s="328"/>
      <c r="J38" s="87"/>
      <c r="K38" s="87"/>
      <c r="L38" s="87"/>
      <c r="M38" s="87"/>
      <c r="N38" s="87"/>
      <c r="O38" s="87"/>
      <c r="P38" s="87"/>
      <c r="Q38" s="87"/>
      <c r="R38" s="87"/>
      <c r="S38" s="87"/>
      <c r="T38" s="87"/>
      <c r="U38" s="87"/>
      <c r="V38" s="329">
        <f>Y17+Y24+Y32</f>
        <v>0</v>
      </c>
      <c r="W38" s="329"/>
      <c r="X38" s="329"/>
      <c r="Y38" s="88" t="s">
        <v>21</v>
      </c>
      <c r="Z38" s="89"/>
    </row>
    <row r="39" spans="1:26" s="76" customFormat="1" ht="21.95" customHeight="1"/>
    <row r="40" spans="1:26" s="76" customFormat="1" ht="21.95" customHeight="1"/>
    <row r="41" spans="1:26" s="76" customFormat="1" ht="21.95" customHeight="1"/>
    <row r="42" spans="1:26" s="76" customFormat="1" ht="21.95" customHeight="1"/>
    <row r="43" spans="1:26" s="76" customFormat="1" ht="21.95" customHeight="1"/>
    <row r="44" spans="1:26" s="76" customFormat="1" ht="21.95" customHeight="1"/>
    <row r="45" spans="1:26" s="76" customFormat="1" ht="21.95" customHeight="1"/>
    <row r="46" spans="1:26" s="76" customFormat="1" ht="21.95" customHeight="1"/>
    <row r="47" spans="1:26" s="76" customFormat="1" ht="21.95" customHeight="1"/>
    <row r="48" spans="1:26" s="76" customFormat="1" ht="21.95" customHeight="1"/>
    <row r="49" s="76" customFormat="1" ht="21.95" customHeight="1"/>
    <row r="50" s="76" customFormat="1" ht="21.95" customHeight="1"/>
    <row r="51" s="76" customFormat="1" ht="21.95" customHeight="1"/>
    <row r="52" s="76" customFormat="1" ht="21.95" customHeight="1"/>
    <row r="53" s="76" customFormat="1" ht="21.95" customHeight="1"/>
    <row r="54" s="76" customFormat="1" ht="21.95" customHeight="1"/>
    <row r="55" s="76" customFormat="1" ht="24.95" customHeight="1"/>
    <row r="56" s="76" customFormat="1" ht="24.95" customHeight="1"/>
    <row r="57" s="76" customFormat="1" ht="24.95" customHeight="1"/>
    <row r="58" s="76" customFormat="1" ht="24.95" customHeight="1"/>
    <row r="59" s="76" customFormat="1" ht="24.95" customHeight="1"/>
    <row r="60" s="76" customFormat="1" ht="24.95" customHeight="1"/>
    <row r="61" s="76" customFormat="1" ht="24.95" customHeight="1"/>
    <row r="62" s="76" customFormat="1" ht="24.95" customHeight="1"/>
    <row r="63" s="76" customFormat="1" ht="24.95" customHeight="1"/>
    <row r="64" s="76" customFormat="1" ht="24.95" customHeight="1"/>
    <row r="65" s="76" customFormat="1" ht="24.95" customHeight="1"/>
    <row r="66" s="76" customFormat="1" ht="24.95" customHeight="1"/>
    <row r="67" s="76" customFormat="1" ht="24.95" customHeight="1"/>
    <row r="68" s="76" customFormat="1" ht="24.95" customHeight="1"/>
    <row r="69" s="76" customFormat="1" ht="24.95" customHeight="1"/>
    <row r="70" s="76" customFormat="1" ht="24.95" customHeight="1"/>
    <row r="71" s="76" customFormat="1" ht="24.95" customHeight="1"/>
    <row r="72" s="76" customFormat="1" ht="24.95" customHeight="1"/>
    <row r="73" s="76" customFormat="1" ht="24.95" customHeight="1"/>
    <row r="74" s="76" customFormat="1" ht="24.95" customHeight="1"/>
    <row r="75" s="76" customFormat="1" ht="24.95" customHeight="1"/>
    <row r="76" s="76" customFormat="1" ht="24.95" customHeight="1"/>
    <row r="77" s="76" customFormat="1" ht="24.95" customHeight="1"/>
    <row r="78" s="76" customFormat="1" ht="24.95" customHeight="1"/>
    <row r="79" s="76" customFormat="1" ht="24.95" customHeight="1"/>
    <row r="80" s="76" customFormat="1" ht="24.95" customHeight="1"/>
    <row r="81" s="76" customFormat="1" ht="24.95" customHeight="1"/>
    <row r="82" s="76" customFormat="1" ht="24.95" customHeight="1"/>
    <row r="83" s="76" customFormat="1" ht="24.95" customHeight="1"/>
    <row r="84" s="76" customFormat="1" ht="24.95" customHeight="1"/>
    <row r="85" s="76" customFormat="1" ht="24.95" customHeight="1"/>
    <row r="86" s="76" customFormat="1" ht="24.95" customHeight="1"/>
    <row r="87" s="76" customFormat="1" ht="24.95" customHeight="1"/>
    <row r="88" s="90" customFormat="1" ht="24.95" customHeight="1"/>
    <row r="89" s="90" customFormat="1" ht="24.95" customHeight="1"/>
    <row r="90" ht="24.95" customHeight="1"/>
    <row r="91" ht="24.95" customHeight="1"/>
    <row r="92" ht="24.95" customHeight="1"/>
    <row r="93" ht="24.95" customHeight="1"/>
    <row r="94" ht="24.95" customHeight="1"/>
    <row r="95" ht="24.95" customHeight="1"/>
    <row r="96" ht="24.95" customHeight="1"/>
    <row r="97" ht="24.95" customHeight="1"/>
    <row r="98" ht="24.95" customHeight="1"/>
    <row r="99" ht="24.95" customHeight="1"/>
    <row r="100" ht="24.95" customHeight="1"/>
  </sheetData>
  <sheetProtection sheet="1" objects="1" scenarios="1"/>
  <mergeCells count="241">
    <mergeCell ref="I23:L23"/>
    <mergeCell ref="I27:J28"/>
    <mergeCell ref="I24:T24"/>
    <mergeCell ref="I32:T32"/>
    <mergeCell ref="C5:D6"/>
    <mergeCell ref="E5:F6"/>
    <mergeCell ref="M5:N6"/>
    <mergeCell ref="O5:T5"/>
    <mergeCell ref="M7:N7"/>
    <mergeCell ref="O7:P7"/>
    <mergeCell ref="S9:T9"/>
    <mergeCell ref="S11:T11"/>
    <mergeCell ref="S13:T13"/>
    <mergeCell ref="M22:N22"/>
    <mergeCell ref="O22:P22"/>
    <mergeCell ref="Q22:R22"/>
    <mergeCell ref="S22:T22"/>
    <mergeCell ref="I20:L21"/>
    <mergeCell ref="I22:L22"/>
    <mergeCell ref="K30:L30"/>
    <mergeCell ref="M30:N30"/>
    <mergeCell ref="O30:P30"/>
    <mergeCell ref="I30:J30"/>
    <mergeCell ref="I29:J29"/>
    <mergeCell ref="A1:Z1"/>
    <mergeCell ref="Q3:T3"/>
    <mergeCell ref="U3:V3"/>
    <mergeCell ref="W3:X3"/>
    <mergeCell ref="A4:B6"/>
    <mergeCell ref="C4:F4"/>
    <mergeCell ref="G4:H6"/>
    <mergeCell ref="I4:J6"/>
    <mergeCell ref="K4:L6"/>
    <mergeCell ref="M4:T4"/>
    <mergeCell ref="I7:J7"/>
    <mergeCell ref="K7:L7"/>
    <mergeCell ref="Q7:R7"/>
    <mergeCell ref="S7:T7"/>
    <mergeCell ref="U7:V7"/>
    <mergeCell ref="AC5:AD5"/>
    <mergeCell ref="AG5:AH5"/>
    <mergeCell ref="AJ5:AK5"/>
    <mergeCell ref="AM5:AN5"/>
    <mergeCell ref="O6:P6"/>
    <mergeCell ref="Q6:R6"/>
    <mergeCell ref="S6:T6"/>
    <mergeCell ref="U4:V6"/>
    <mergeCell ref="W4:X6"/>
    <mergeCell ref="Y4:Z6"/>
    <mergeCell ref="I9:J9"/>
    <mergeCell ref="K9:L9"/>
    <mergeCell ref="M9:N9"/>
    <mergeCell ref="O9:P9"/>
    <mergeCell ref="Q9:R9"/>
    <mergeCell ref="W7:X7"/>
    <mergeCell ref="Y7:Z7"/>
    <mergeCell ref="A8:B8"/>
    <mergeCell ref="C8:D8"/>
    <mergeCell ref="E8:F8"/>
    <mergeCell ref="G8:H8"/>
    <mergeCell ref="I8:J8"/>
    <mergeCell ref="K8:L8"/>
    <mergeCell ref="M8:N8"/>
    <mergeCell ref="O8:P8"/>
    <mergeCell ref="Q8:R8"/>
    <mergeCell ref="S8:T8"/>
    <mergeCell ref="U8:V8"/>
    <mergeCell ref="W8:X8"/>
    <mergeCell ref="Y8:Z8"/>
    <mergeCell ref="A7:B7"/>
    <mergeCell ref="C7:D7"/>
    <mergeCell ref="E7:F7"/>
    <mergeCell ref="G7:H7"/>
    <mergeCell ref="K11:L11"/>
    <mergeCell ref="M11:N11"/>
    <mergeCell ref="O11:P11"/>
    <mergeCell ref="Q11:R11"/>
    <mergeCell ref="U9:V9"/>
    <mergeCell ref="W9:X9"/>
    <mergeCell ref="Y9:Z9"/>
    <mergeCell ref="A10:B10"/>
    <mergeCell ref="C10:D10"/>
    <mergeCell ref="E10:F10"/>
    <mergeCell ref="G10:H10"/>
    <mergeCell ref="I10:J10"/>
    <mergeCell ref="K10:L10"/>
    <mergeCell ref="M10:N10"/>
    <mergeCell ref="O10:P10"/>
    <mergeCell ref="Q10:R10"/>
    <mergeCell ref="S10:T10"/>
    <mergeCell ref="U10:V10"/>
    <mergeCell ref="W10:X10"/>
    <mergeCell ref="Y10:Z10"/>
    <mergeCell ref="A9:B9"/>
    <mergeCell ref="C9:D9"/>
    <mergeCell ref="E9:F9"/>
    <mergeCell ref="G9:H9"/>
    <mergeCell ref="M13:N13"/>
    <mergeCell ref="O13:P13"/>
    <mergeCell ref="Q13:R13"/>
    <mergeCell ref="U11:V11"/>
    <mergeCell ref="W11:X11"/>
    <mergeCell ref="Y11:Z11"/>
    <mergeCell ref="A12:B12"/>
    <mergeCell ref="C12:D12"/>
    <mergeCell ref="E12:F12"/>
    <mergeCell ref="G12:H12"/>
    <mergeCell ref="I12:J12"/>
    <mergeCell ref="K12:L12"/>
    <mergeCell ref="M12:N12"/>
    <mergeCell ref="O12:P12"/>
    <mergeCell ref="Q12:R12"/>
    <mergeCell ref="S12:T12"/>
    <mergeCell ref="U12:V12"/>
    <mergeCell ref="W12:X12"/>
    <mergeCell ref="Y12:Z12"/>
    <mergeCell ref="A11:B11"/>
    <mergeCell ref="C11:D11"/>
    <mergeCell ref="E11:F11"/>
    <mergeCell ref="G11:H11"/>
    <mergeCell ref="I11:J11"/>
    <mergeCell ref="Y15:Z15"/>
    <mergeCell ref="W15:X15"/>
    <mergeCell ref="U13:V13"/>
    <mergeCell ref="W13:X13"/>
    <mergeCell ref="Y13:Z13"/>
    <mergeCell ref="A14:B14"/>
    <mergeCell ref="C14:D14"/>
    <mergeCell ref="E14:F14"/>
    <mergeCell ref="G14:H14"/>
    <mergeCell ref="I14:J14"/>
    <mergeCell ref="K14:L14"/>
    <mergeCell ref="M14:N14"/>
    <mergeCell ref="O14:P14"/>
    <mergeCell ref="Q14:R14"/>
    <mergeCell ref="S14:T14"/>
    <mergeCell ref="U14:V14"/>
    <mergeCell ref="W14:X14"/>
    <mergeCell ref="Y14:Z14"/>
    <mergeCell ref="A13:B13"/>
    <mergeCell ref="C13:D13"/>
    <mergeCell ref="E13:F13"/>
    <mergeCell ref="G13:H13"/>
    <mergeCell ref="I13:J13"/>
    <mergeCell ref="K13:L13"/>
    <mergeCell ref="Q15:R15"/>
    <mergeCell ref="S15:T15"/>
    <mergeCell ref="U15:V15"/>
    <mergeCell ref="A15:B15"/>
    <mergeCell ref="C15:D15"/>
    <mergeCell ref="E15:F15"/>
    <mergeCell ref="G15:H15"/>
    <mergeCell ref="I15:J15"/>
    <mergeCell ref="K15:L15"/>
    <mergeCell ref="M15:N15"/>
    <mergeCell ref="O15:P15"/>
    <mergeCell ref="W16:X16"/>
    <mergeCell ref="Y16:Z16"/>
    <mergeCell ref="A17:T17"/>
    <mergeCell ref="U17:V17"/>
    <mergeCell ref="W17:X17"/>
    <mergeCell ref="Y17:Z17"/>
    <mergeCell ref="K16:L16"/>
    <mergeCell ref="M16:N16"/>
    <mergeCell ref="O16:P16"/>
    <mergeCell ref="Q16:R16"/>
    <mergeCell ref="A16:B16"/>
    <mergeCell ref="C16:D16"/>
    <mergeCell ref="E16:F16"/>
    <mergeCell ref="G16:H16"/>
    <mergeCell ref="I16:J16"/>
    <mergeCell ref="S16:T16"/>
    <mergeCell ref="U16:V16"/>
    <mergeCell ref="AM18:AN18"/>
    <mergeCell ref="M20:P20"/>
    <mergeCell ref="Q20:R21"/>
    <mergeCell ref="S20:T21"/>
    <mergeCell ref="U20:V21"/>
    <mergeCell ref="W20:X21"/>
    <mergeCell ref="Y20:Z21"/>
    <mergeCell ref="AM20:AN20"/>
    <mergeCell ref="M21:N21"/>
    <mergeCell ref="O21:P21"/>
    <mergeCell ref="U22:V22"/>
    <mergeCell ref="W22:X22"/>
    <mergeCell ref="Y22:Z22"/>
    <mergeCell ref="M23:N23"/>
    <mergeCell ref="O23:P23"/>
    <mergeCell ref="Q23:R23"/>
    <mergeCell ref="S23:T23"/>
    <mergeCell ref="U23:V23"/>
    <mergeCell ref="W23:X23"/>
    <mergeCell ref="Y23:Z23"/>
    <mergeCell ref="U24:V24"/>
    <mergeCell ref="W24:X24"/>
    <mergeCell ref="Y24:Z24"/>
    <mergeCell ref="K27:L28"/>
    <mergeCell ref="M27:N28"/>
    <mergeCell ref="O27:P28"/>
    <mergeCell ref="Q27:R28"/>
    <mergeCell ref="S27:T28"/>
    <mergeCell ref="K29:L29"/>
    <mergeCell ref="M29:N29"/>
    <mergeCell ref="O29:P29"/>
    <mergeCell ref="Q29:R29"/>
    <mergeCell ref="S29:T29"/>
    <mergeCell ref="U29:V29"/>
    <mergeCell ref="W30:X30"/>
    <mergeCell ref="Y30:Z30"/>
    <mergeCell ref="U27:V28"/>
    <mergeCell ref="W27:X28"/>
    <mergeCell ref="Y27:Z28"/>
    <mergeCell ref="W29:X29"/>
    <mergeCell ref="Q31:R31"/>
    <mergeCell ref="S31:T31"/>
    <mergeCell ref="U31:V31"/>
    <mergeCell ref="Y29:Z29"/>
    <mergeCell ref="Q30:R30"/>
    <mergeCell ref="S30:T30"/>
    <mergeCell ref="U30:V30"/>
    <mergeCell ref="W31:X31"/>
    <mergeCell ref="Y31:Z31"/>
    <mergeCell ref="U32:V32"/>
    <mergeCell ref="W32:X32"/>
    <mergeCell ref="Y32:Z32"/>
    <mergeCell ref="K31:L31"/>
    <mergeCell ref="M31:N31"/>
    <mergeCell ref="O31:P31"/>
    <mergeCell ref="I31:J31"/>
    <mergeCell ref="C38:I38"/>
    <mergeCell ref="V38:X38"/>
    <mergeCell ref="A35:B38"/>
    <mergeCell ref="C35:I35"/>
    <mergeCell ref="K35:M35"/>
    <mergeCell ref="P35:Q35"/>
    <mergeCell ref="T35:U35"/>
    <mergeCell ref="X35:Y35"/>
    <mergeCell ref="C36:I36"/>
    <mergeCell ref="V36:X36"/>
    <mergeCell ref="C37:I37"/>
    <mergeCell ref="V37:X37"/>
  </mergeCells>
  <phoneticPr fontId="2"/>
  <conditionalFormatting sqref="U17:V17">
    <cfRule type="expression" dxfId="71" priority="49" stopIfTrue="1">
      <formula>$U$17=0</formula>
    </cfRule>
  </conditionalFormatting>
  <conditionalFormatting sqref="W17:X17">
    <cfRule type="expression" dxfId="70" priority="48" stopIfTrue="1">
      <formula>$W$17=0</formula>
    </cfRule>
  </conditionalFormatting>
  <conditionalFormatting sqref="Y17:Z17">
    <cfRule type="expression" dxfId="69" priority="47" stopIfTrue="1">
      <formula>$Y$17=0</formula>
    </cfRule>
  </conditionalFormatting>
  <conditionalFormatting sqref="U24:V24">
    <cfRule type="expression" dxfId="68" priority="46" stopIfTrue="1">
      <formula>$U$24:$V$24=0</formula>
    </cfRule>
  </conditionalFormatting>
  <conditionalFormatting sqref="U32:V32">
    <cfRule type="expression" dxfId="67" priority="45" stopIfTrue="1">
      <formula>$U$32:$V$32=0</formula>
    </cfRule>
  </conditionalFormatting>
  <conditionalFormatting sqref="X35:Y35">
    <cfRule type="expression" dxfId="66" priority="44" stopIfTrue="1">
      <formula>$X$35=0</formula>
    </cfRule>
  </conditionalFormatting>
  <conditionalFormatting sqref="P35:Q35">
    <cfRule type="expression" dxfId="65" priority="43" stopIfTrue="1">
      <formula>$P$35=0</formula>
    </cfRule>
  </conditionalFormatting>
  <conditionalFormatting sqref="T35:U35">
    <cfRule type="expression" dxfId="64" priority="42" stopIfTrue="1">
      <formula>$T$35=0</formula>
    </cfRule>
  </conditionalFormatting>
  <conditionalFormatting sqref="K35:M35">
    <cfRule type="expression" dxfId="63" priority="41" stopIfTrue="1">
      <formula>$K$35=0</formula>
    </cfRule>
  </conditionalFormatting>
  <conditionalFormatting sqref="W7:X7">
    <cfRule type="expression" dxfId="62" priority="39" stopIfTrue="1">
      <formula>#VALUE!</formula>
    </cfRule>
    <cfRule type="expression" dxfId="61" priority="40" stopIfTrue="1">
      <formula>#VALUE!</formula>
    </cfRule>
  </conditionalFormatting>
  <conditionalFormatting sqref="W16:X16">
    <cfRule type="expression" dxfId="60" priority="38" stopIfTrue="1">
      <formula>#VALUE!</formula>
    </cfRule>
  </conditionalFormatting>
  <conditionalFormatting sqref="W7:X7">
    <cfRule type="expression" dxfId="59" priority="26" stopIfTrue="1">
      <formula>#VALUE!</formula>
    </cfRule>
    <cfRule type="expression" dxfId="58" priority="27" stopIfTrue="1">
      <formula>#VALUE!</formula>
    </cfRule>
  </conditionalFormatting>
  <conditionalFormatting sqref="W16:X16">
    <cfRule type="expression" dxfId="57" priority="25" stopIfTrue="1">
      <formula>#VALUE!</formula>
    </cfRule>
  </conditionalFormatting>
  <conditionalFormatting sqref="W24:X24">
    <cfRule type="expression" dxfId="56" priority="24" stopIfTrue="1">
      <formula>$W$24:$X$24=0</formula>
    </cfRule>
  </conditionalFormatting>
  <conditionalFormatting sqref="Y24:Z24">
    <cfRule type="expression" dxfId="55" priority="23" stopIfTrue="1">
      <formula>$Y$24:$Z$24=0</formula>
    </cfRule>
  </conditionalFormatting>
  <conditionalFormatting sqref="W32:X32">
    <cfRule type="expression" dxfId="54" priority="22" stopIfTrue="1">
      <formula>$W$32:$X$32=0</formula>
    </cfRule>
  </conditionalFormatting>
  <conditionalFormatting sqref="Y32:Z32">
    <cfRule type="expression" dxfId="53" priority="21" stopIfTrue="1">
      <formula>$Y$32:$Z$32=0</formula>
    </cfRule>
  </conditionalFormatting>
  <conditionalFormatting sqref="O7:T7">
    <cfRule type="expression" dxfId="52" priority="10" stopIfTrue="1">
      <formula>$AF$7=TRUE</formula>
    </cfRule>
  </conditionalFormatting>
  <conditionalFormatting sqref="O12:T12">
    <cfRule type="expression" dxfId="51" priority="9" stopIfTrue="1">
      <formula>$AF$12=TRUE</formula>
    </cfRule>
  </conditionalFormatting>
  <conditionalFormatting sqref="O13:T13">
    <cfRule type="expression" dxfId="50" priority="8" stopIfTrue="1">
      <formula>$AF$13=TRUE</formula>
    </cfRule>
  </conditionalFormatting>
  <conditionalFormatting sqref="O14:T14">
    <cfRule type="expression" dxfId="49" priority="7" stopIfTrue="1">
      <formula>$AF$14=TRUE</formula>
    </cfRule>
  </conditionalFormatting>
  <conditionalFormatting sqref="O15:T15">
    <cfRule type="expression" dxfId="48" priority="6" stopIfTrue="1">
      <formula>$AF$15=TRUE</formula>
    </cfRule>
  </conditionalFormatting>
  <conditionalFormatting sqref="O16:T16">
    <cfRule type="expression" dxfId="47" priority="5" stopIfTrue="1">
      <formula>$AF$16=TRUE</formula>
    </cfRule>
  </conditionalFormatting>
  <conditionalFormatting sqref="O9:T9">
    <cfRule type="expression" dxfId="46" priority="4" stopIfTrue="1">
      <formula>$AF$9=TRUE</formula>
    </cfRule>
  </conditionalFormatting>
  <conditionalFormatting sqref="O10:T10">
    <cfRule type="expression" dxfId="45" priority="3" stopIfTrue="1">
      <formula>$AF$10=TRUE</formula>
    </cfRule>
  </conditionalFormatting>
  <conditionalFormatting sqref="O11:T11">
    <cfRule type="expression" dxfId="44" priority="2" stopIfTrue="1">
      <formula>$AF$11=TRUE</formula>
    </cfRule>
  </conditionalFormatting>
  <conditionalFormatting sqref="O8:T8">
    <cfRule type="expression" dxfId="43" priority="1" stopIfTrue="1">
      <formula>$AF$8=TRUE</formula>
    </cfRule>
  </conditionalFormatting>
  <dataValidations count="1">
    <dataValidation type="list" allowBlank="1" showInputMessage="1" showErrorMessage="1" sqref="S22:T23 K7:L16">
      <formula1>"　,雨戸,ｼｬｯﾀｰ,障子,風除室"</formula1>
    </dataValidation>
  </dataValidations>
  <pageMargins left="0.59055118110236227" right="0.39370078740157483" top="0.98425196850393704" bottom="0.78740157480314965" header="0.31496062992125984" footer="0.39370078740157483"/>
  <pageSetup paperSize="9" scale="90" orientation="portrait" horizontalDpi="300" verticalDpi="300" r:id="rId1"/>
  <headerFooter>
    <oddHeader>&amp;Rver. 1.3 (excel2007)[H28]</oddHeader>
    <oddFooter>&amp;Cⓒ　2013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425" r:id="rId4" name="Check Box 1">
              <controlPr defaultSize="0" autoFill="0" autoLine="0" autoPict="0">
                <anchor moveWithCells="1">
                  <from>
                    <xdr:col>12</xdr:col>
                    <xdr:colOff>190500</xdr:colOff>
                    <xdr:row>6</xdr:row>
                    <xdr:rowOff>47625</xdr:rowOff>
                  </from>
                  <to>
                    <xdr:col>13</xdr:col>
                    <xdr:colOff>200025</xdr:colOff>
                    <xdr:row>6</xdr:row>
                    <xdr:rowOff>257175</xdr:rowOff>
                  </to>
                </anchor>
              </controlPr>
            </control>
          </mc:Choice>
        </mc:AlternateContent>
        <mc:AlternateContent xmlns:mc="http://schemas.openxmlformats.org/markup-compatibility/2006">
          <mc:Choice Requires="x14">
            <control shapeId="103426" r:id="rId5" name="Check Box 2">
              <controlPr defaultSize="0" autoFill="0" autoLine="0" autoPict="0">
                <anchor moveWithCells="1">
                  <from>
                    <xdr:col>12</xdr:col>
                    <xdr:colOff>190500</xdr:colOff>
                    <xdr:row>7</xdr:row>
                    <xdr:rowOff>47625</xdr:rowOff>
                  </from>
                  <to>
                    <xdr:col>13</xdr:col>
                    <xdr:colOff>200025</xdr:colOff>
                    <xdr:row>7</xdr:row>
                    <xdr:rowOff>257175</xdr:rowOff>
                  </to>
                </anchor>
              </controlPr>
            </control>
          </mc:Choice>
        </mc:AlternateContent>
        <mc:AlternateContent xmlns:mc="http://schemas.openxmlformats.org/markup-compatibility/2006">
          <mc:Choice Requires="x14">
            <control shapeId="103427" r:id="rId6" name="Check Box 3">
              <controlPr defaultSize="0" autoFill="0" autoLine="0" autoPict="0">
                <anchor moveWithCells="1">
                  <from>
                    <xdr:col>12</xdr:col>
                    <xdr:colOff>190500</xdr:colOff>
                    <xdr:row>11</xdr:row>
                    <xdr:rowOff>47625</xdr:rowOff>
                  </from>
                  <to>
                    <xdr:col>13</xdr:col>
                    <xdr:colOff>200025</xdr:colOff>
                    <xdr:row>11</xdr:row>
                    <xdr:rowOff>257175</xdr:rowOff>
                  </to>
                </anchor>
              </controlPr>
            </control>
          </mc:Choice>
        </mc:AlternateContent>
        <mc:AlternateContent xmlns:mc="http://schemas.openxmlformats.org/markup-compatibility/2006">
          <mc:Choice Requires="x14">
            <control shapeId="103428" r:id="rId7" name="Check Box 4">
              <controlPr defaultSize="0" autoFill="0" autoLine="0" autoPict="0">
                <anchor moveWithCells="1">
                  <from>
                    <xdr:col>12</xdr:col>
                    <xdr:colOff>190500</xdr:colOff>
                    <xdr:row>12</xdr:row>
                    <xdr:rowOff>47625</xdr:rowOff>
                  </from>
                  <to>
                    <xdr:col>13</xdr:col>
                    <xdr:colOff>200025</xdr:colOff>
                    <xdr:row>12</xdr:row>
                    <xdr:rowOff>257175</xdr:rowOff>
                  </to>
                </anchor>
              </controlPr>
            </control>
          </mc:Choice>
        </mc:AlternateContent>
        <mc:AlternateContent xmlns:mc="http://schemas.openxmlformats.org/markup-compatibility/2006">
          <mc:Choice Requires="x14">
            <control shapeId="103429" r:id="rId8" name="Check Box 5">
              <controlPr defaultSize="0" autoFill="0" autoLine="0" autoPict="0">
                <anchor moveWithCells="1">
                  <from>
                    <xdr:col>12</xdr:col>
                    <xdr:colOff>190500</xdr:colOff>
                    <xdr:row>13</xdr:row>
                    <xdr:rowOff>47625</xdr:rowOff>
                  </from>
                  <to>
                    <xdr:col>13</xdr:col>
                    <xdr:colOff>200025</xdr:colOff>
                    <xdr:row>13</xdr:row>
                    <xdr:rowOff>257175</xdr:rowOff>
                  </to>
                </anchor>
              </controlPr>
            </control>
          </mc:Choice>
        </mc:AlternateContent>
        <mc:AlternateContent xmlns:mc="http://schemas.openxmlformats.org/markup-compatibility/2006">
          <mc:Choice Requires="x14">
            <control shapeId="103430" r:id="rId9" name="Check Box 6">
              <controlPr defaultSize="0" autoFill="0" autoLine="0" autoPict="0">
                <anchor moveWithCells="1">
                  <from>
                    <xdr:col>12</xdr:col>
                    <xdr:colOff>190500</xdr:colOff>
                    <xdr:row>14</xdr:row>
                    <xdr:rowOff>47625</xdr:rowOff>
                  </from>
                  <to>
                    <xdr:col>13</xdr:col>
                    <xdr:colOff>200025</xdr:colOff>
                    <xdr:row>14</xdr:row>
                    <xdr:rowOff>257175</xdr:rowOff>
                  </to>
                </anchor>
              </controlPr>
            </control>
          </mc:Choice>
        </mc:AlternateContent>
        <mc:AlternateContent xmlns:mc="http://schemas.openxmlformats.org/markup-compatibility/2006">
          <mc:Choice Requires="x14">
            <control shapeId="103431" r:id="rId10" name="Check Box 7">
              <controlPr defaultSize="0" autoFill="0" autoLine="0" autoPict="0">
                <anchor moveWithCells="1">
                  <from>
                    <xdr:col>12</xdr:col>
                    <xdr:colOff>190500</xdr:colOff>
                    <xdr:row>15</xdr:row>
                    <xdr:rowOff>47625</xdr:rowOff>
                  </from>
                  <to>
                    <xdr:col>13</xdr:col>
                    <xdr:colOff>200025</xdr:colOff>
                    <xdr:row>15</xdr:row>
                    <xdr:rowOff>257175</xdr:rowOff>
                  </to>
                </anchor>
              </controlPr>
            </control>
          </mc:Choice>
        </mc:AlternateContent>
        <mc:AlternateContent xmlns:mc="http://schemas.openxmlformats.org/markup-compatibility/2006">
          <mc:Choice Requires="x14">
            <control shapeId="103432" r:id="rId11" name="Check Box 8">
              <controlPr defaultSize="0" autoFill="0" autoLine="0" autoPict="0">
                <anchor moveWithCells="1">
                  <from>
                    <xdr:col>12</xdr:col>
                    <xdr:colOff>190500</xdr:colOff>
                    <xdr:row>8</xdr:row>
                    <xdr:rowOff>47625</xdr:rowOff>
                  </from>
                  <to>
                    <xdr:col>13</xdr:col>
                    <xdr:colOff>200025</xdr:colOff>
                    <xdr:row>8</xdr:row>
                    <xdr:rowOff>257175</xdr:rowOff>
                  </to>
                </anchor>
              </controlPr>
            </control>
          </mc:Choice>
        </mc:AlternateContent>
        <mc:AlternateContent xmlns:mc="http://schemas.openxmlformats.org/markup-compatibility/2006">
          <mc:Choice Requires="x14">
            <control shapeId="103433" r:id="rId12" name="Check Box 9">
              <controlPr defaultSize="0" autoFill="0" autoLine="0" autoPict="0">
                <anchor moveWithCells="1">
                  <from>
                    <xdr:col>12</xdr:col>
                    <xdr:colOff>190500</xdr:colOff>
                    <xdr:row>9</xdr:row>
                    <xdr:rowOff>47625</xdr:rowOff>
                  </from>
                  <to>
                    <xdr:col>13</xdr:col>
                    <xdr:colOff>200025</xdr:colOff>
                    <xdr:row>9</xdr:row>
                    <xdr:rowOff>257175</xdr:rowOff>
                  </to>
                </anchor>
              </controlPr>
            </control>
          </mc:Choice>
        </mc:AlternateContent>
        <mc:AlternateContent xmlns:mc="http://schemas.openxmlformats.org/markup-compatibility/2006">
          <mc:Choice Requires="x14">
            <control shapeId="103434" r:id="rId13" name="Check Box 10">
              <controlPr defaultSize="0" autoFill="0" autoLine="0" autoPict="0">
                <anchor moveWithCells="1">
                  <from>
                    <xdr:col>12</xdr:col>
                    <xdr:colOff>190500</xdr:colOff>
                    <xdr:row>10</xdr:row>
                    <xdr:rowOff>47625</xdr:rowOff>
                  </from>
                  <to>
                    <xdr:col>13</xdr:col>
                    <xdr:colOff>200025</xdr:colOff>
                    <xdr:row>10</xdr:row>
                    <xdr:rowOff>257175</xdr:rowOff>
                  </to>
                </anchor>
              </controlPr>
            </control>
          </mc:Choice>
        </mc:AlternateContent>
        <mc:AlternateContent xmlns:mc="http://schemas.openxmlformats.org/markup-compatibility/2006">
          <mc:Choice Requires="x14">
            <control shapeId="103446" r:id="rId14" name="Check Box 22">
              <controlPr defaultSize="0" autoFill="0" autoLine="0" autoPict="0">
                <anchor moveWithCells="1">
                  <from>
                    <xdr:col>18</xdr:col>
                    <xdr:colOff>190500</xdr:colOff>
                    <xdr:row>28</xdr:row>
                    <xdr:rowOff>47625</xdr:rowOff>
                  </from>
                  <to>
                    <xdr:col>19</xdr:col>
                    <xdr:colOff>200025</xdr:colOff>
                    <xdr:row>28</xdr:row>
                    <xdr:rowOff>257175</xdr:rowOff>
                  </to>
                </anchor>
              </controlPr>
            </control>
          </mc:Choice>
        </mc:AlternateContent>
        <mc:AlternateContent xmlns:mc="http://schemas.openxmlformats.org/markup-compatibility/2006">
          <mc:Choice Requires="x14">
            <control shapeId="103447" r:id="rId15" name="Check Box 23">
              <controlPr defaultSize="0" autoFill="0" autoLine="0" autoPict="0">
                <anchor moveWithCells="1">
                  <from>
                    <xdr:col>18</xdr:col>
                    <xdr:colOff>190500</xdr:colOff>
                    <xdr:row>29</xdr:row>
                    <xdr:rowOff>47625</xdr:rowOff>
                  </from>
                  <to>
                    <xdr:col>19</xdr:col>
                    <xdr:colOff>200025</xdr:colOff>
                    <xdr:row>29</xdr:row>
                    <xdr:rowOff>257175</xdr:rowOff>
                  </to>
                </anchor>
              </controlPr>
            </control>
          </mc:Choice>
        </mc:AlternateContent>
        <mc:AlternateContent xmlns:mc="http://schemas.openxmlformats.org/markup-compatibility/2006">
          <mc:Choice Requires="x14">
            <control shapeId="103448" r:id="rId16" name="Check Box 24">
              <controlPr defaultSize="0" autoFill="0" autoLine="0" autoPict="0">
                <anchor moveWithCells="1">
                  <from>
                    <xdr:col>18</xdr:col>
                    <xdr:colOff>190500</xdr:colOff>
                    <xdr:row>30</xdr:row>
                    <xdr:rowOff>47625</xdr:rowOff>
                  </from>
                  <to>
                    <xdr:col>19</xdr:col>
                    <xdr:colOff>200025</xdr:colOff>
                    <xdr:row>30</xdr:row>
                    <xdr:rowOff>257175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0"/>
  <sheetViews>
    <sheetView zoomScaleNormal="100" workbookViewId="0">
      <selection sqref="A1:Z1"/>
    </sheetView>
  </sheetViews>
  <sheetFormatPr defaultRowHeight="13.5"/>
  <cols>
    <col min="1" max="28" width="3.875" style="91" customWidth="1"/>
    <col min="29" max="30" width="10.625" style="91" hidden="1" customWidth="1"/>
    <col min="31" max="31" width="2.625" style="91" hidden="1" customWidth="1"/>
    <col min="32" max="34" width="10.625" style="91" hidden="1" customWidth="1"/>
    <col min="35" max="35" width="2.625" style="91" hidden="1" customWidth="1"/>
    <col min="36" max="37" width="15.625" style="91" hidden="1" customWidth="1"/>
    <col min="38" max="38" width="2.625" style="91" hidden="1" customWidth="1"/>
    <col min="39" max="40" width="10.625" style="91" hidden="1" customWidth="1"/>
    <col min="41" max="42" width="3.625" style="91" customWidth="1"/>
    <col min="43" max="48" width="4.625" style="91" customWidth="1"/>
    <col min="49" max="16384" width="9" style="91"/>
  </cols>
  <sheetData>
    <row r="1" spans="1:40" s="75" customFormat="1" ht="30" customHeight="1">
      <c r="A1" s="228" t="s">
        <v>143</v>
      </c>
      <c r="B1" s="228"/>
      <c r="C1" s="228"/>
      <c r="D1" s="228"/>
      <c r="E1" s="228"/>
      <c r="F1" s="228"/>
      <c r="G1" s="228"/>
      <c r="H1" s="228"/>
      <c r="I1" s="228"/>
      <c r="J1" s="228"/>
      <c r="K1" s="228"/>
      <c r="L1" s="228"/>
      <c r="M1" s="228"/>
      <c r="N1" s="228"/>
      <c r="O1" s="228"/>
      <c r="P1" s="228"/>
      <c r="Q1" s="228"/>
      <c r="R1" s="228"/>
      <c r="S1" s="228"/>
      <c r="T1" s="228"/>
      <c r="U1" s="228"/>
      <c r="V1" s="228"/>
      <c r="W1" s="228"/>
      <c r="X1" s="228"/>
      <c r="Y1" s="228"/>
      <c r="Z1" s="228"/>
    </row>
    <row r="2" spans="1:40" s="76" customFormat="1" ht="24.95" customHeight="1" thickBot="1"/>
    <row r="3" spans="1:40" s="76" customFormat="1" ht="21.95" customHeight="1" thickBot="1">
      <c r="A3" s="77" t="s">
        <v>5</v>
      </c>
      <c r="Q3" s="229" t="s">
        <v>37</v>
      </c>
      <c r="R3" s="230"/>
      <c r="S3" s="230"/>
      <c r="T3" s="231"/>
      <c r="U3" s="378" t="b">
        <f>IF(共通条件・結果!Z6="８地域","0.411",IF(共通条件・結果!Z6="７地域",0.406,IF(共通条件・結果!Z6="６地域",0.427,IF(共通条件・結果!Z6="５地域",0.442,IF(共通条件・結果!Z6="４地域",0.401,IF(共通条件・結果!Z6="３地域",0.447,IF(共通条件・結果!Z6="２地域",0.428,IF(共通条件・結果!Z6="１地域",0.411))))))))</f>
        <v>0</v>
      </c>
      <c r="V3" s="379"/>
      <c r="W3" s="378" t="b">
        <f>IF(共通条件・結果!Z6="８地域","-",IF(共通条件・結果!Z6="７地域",0.284,IF(共通条件・結果!Z6="６地域",0.317,IF(共通条件・結果!Z6="５地域",0.297,IF(共通条件・結果!Z6="４地域",0.326,IF(共通条件・結果!Z6="３地域",0.351,IF(共通条件・結果!Z6="２地域",0.341,IF(共通条件・結果!Z6="１地域",0.325))))))))</f>
        <v>0</v>
      </c>
      <c r="X3" s="379"/>
    </row>
    <row r="4" spans="1:40" s="76" customFormat="1" ht="21.95" customHeight="1">
      <c r="A4" s="236" t="s">
        <v>6</v>
      </c>
      <c r="B4" s="237"/>
      <c r="C4" s="237" t="s">
        <v>113</v>
      </c>
      <c r="D4" s="237"/>
      <c r="E4" s="237"/>
      <c r="F4" s="237"/>
      <c r="G4" s="237" t="s">
        <v>7</v>
      </c>
      <c r="H4" s="237"/>
      <c r="I4" s="254" t="s">
        <v>127</v>
      </c>
      <c r="J4" s="237"/>
      <c r="K4" s="254" t="s">
        <v>10</v>
      </c>
      <c r="L4" s="237"/>
      <c r="M4" s="262" t="s">
        <v>91</v>
      </c>
      <c r="N4" s="263"/>
      <c r="O4" s="263"/>
      <c r="P4" s="263"/>
      <c r="Q4" s="263"/>
      <c r="R4" s="263"/>
      <c r="S4" s="263"/>
      <c r="T4" s="263"/>
      <c r="U4" s="254" t="s">
        <v>86</v>
      </c>
      <c r="V4" s="237"/>
      <c r="W4" s="254" t="s">
        <v>87</v>
      </c>
      <c r="X4" s="237"/>
      <c r="Y4" s="237" t="s">
        <v>13</v>
      </c>
      <c r="Z4" s="256"/>
    </row>
    <row r="5" spans="1:40" s="76" customFormat="1" ht="21.95" customHeight="1">
      <c r="A5" s="238"/>
      <c r="B5" s="239"/>
      <c r="C5" s="242" t="s">
        <v>9</v>
      </c>
      <c r="D5" s="243"/>
      <c r="E5" s="246" t="s">
        <v>8</v>
      </c>
      <c r="F5" s="247"/>
      <c r="G5" s="239"/>
      <c r="H5" s="239"/>
      <c r="I5" s="255"/>
      <c r="J5" s="239"/>
      <c r="K5" s="255"/>
      <c r="L5" s="239"/>
      <c r="M5" s="250" t="s">
        <v>89</v>
      </c>
      <c r="N5" s="251"/>
      <c r="O5" s="259" t="s">
        <v>90</v>
      </c>
      <c r="P5" s="260"/>
      <c r="Q5" s="260"/>
      <c r="R5" s="260"/>
      <c r="S5" s="260"/>
      <c r="T5" s="261"/>
      <c r="U5" s="255"/>
      <c r="V5" s="239"/>
      <c r="W5" s="255"/>
      <c r="X5" s="239"/>
      <c r="Y5" s="239"/>
      <c r="Z5" s="257"/>
      <c r="AC5" s="264" t="s">
        <v>94</v>
      </c>
      <c r="AD5" s="264"/>
      <c r="AE5" s="78"/>
      <c r="AF5" s="78"/>
      <c r="AG5" s="264" t="s">
        <v>14</v>
      </c>
      <c r="AH5" s="264"/>
      <c r="AI5" s="78"/>
      <c r="AJ5" s="264" t="s">
        <v>95</v>
      </c>
      <c r="AK5" s="264"/>
      <c r="AM5" s="264" t="s">
        <v>110</v>
      </c>
      <c r="AN5" s="264"/>
    </row>
    <row r="6" spans="1:40" s="76" customFormat="1" ht="21.95" customHeight="1" thickBot="1">
      <c r="A6" s="240"/>
      <c r="B6" s="241"/>
      <c r="C6" s="244"/>
      <c r="D6" s="245"/>
      <c r="E6" s="248"/>
      <c r="F6" s="249"/>
      <c r="G6" s="241"/>
      <c r="H6" s="241"/>
      <c r="I6" s="241"/>
      <c r="J6" s="241"/>
      <c r="K6" s="241"/>
      <c r="L6" s="241"/>
      <c r="M6" s="252"/>
      <c r="N6" s="253"/>
      <c r="O6" s="249" t="s">
        <v>11</v>
      </c>
      <c r="P6" s="267"/>
      <c r="Q6" s="268" t="s">
        <v>12</v>
      </c>
      <c r="R6" s="269"/>
      <c r="S6" s="249" t="s">
        <v>3</v>
      </c>
      <c r="T6" s="267"/>
      <c r="U6" s="241"/>
      <c r="V6" s="241"/>
      <c r="W6" s="241"/>
      <c r="X6" s="241"/>
      <c r="Y6" s="241"/>
      <c r="Z6" s="258"/>
      <c r="AC6" s="78" t="s">
        <v>4</v>
      </c>
      <c r="AD6" s="78" t="s">
        <v>18</v>
      </c>
      <c r="AE6" s="78"/>
      <c r="AF6" s="78"/>
      <c r="AG6" s="78" t="s">
        <v>4</v>
      </c>
      <c r="AH6" s="78" t="s">
        <v>18</v>
      </c>
      <c r="AI6" s="78"/>
      <c r="AJ6" s="78" t="s">
        <v>4</v>
      </c>
      <c r="AK6" s="78" t="s">
        <v>18</v>
      </c>
      <c r="AM6" s="76" t="s">
        <v>108</v>
      </c>
      <c r="AN6" s="76" t="s">
        <v>106</v>
      </c>
    </row>
    <row r="7" spans="1:40" s="76" customFormat="1" ht="21.95" customHeight="1">
      <c r="A7" s="277"/>
      <c r="B7" s="278"/>
      <c r="C7" s="279"/>
      <c r="D7" s="280"/>
      <c r="E7" s="280"/>
      <c r="F7" s="281"/>
      <c r="G7" s="282"/>
      <c r="H7" s="282"/>
      <c r="I7" s="282"/>
      <c r="J7" s="282"/>
      <c r="K7" s="283"/>
      <c r="L7" s="283"/>
      <c r="M7" s="265"/>
      <c r="N7" s="371"/>
      <c r="O7" s="271"/>
      <c r="P7" s="272"/>
      <c r="Q7" s="273"/>
      <c r="R7" s="274"/>
      <c r="S7" s="275"/>
      <c r="T7" s="271"/>
      <c r="U7" s="270" t="str">
        <f>IF(C7="","",AC7)</f>
        <v/>
      </c>
      <c r="V7" s="270"/>
      <c r="W7" s="270" t="str">
        <f>IF(C7="","",IF(ISERROR(AD7),#VALUE!,AD7))</f>
        <v/>
      </c>
      <c r="X7" s="270"/>
      <c r="Y7" s="270" t="str">
        <f>IF(C7="","",C7*E7*AM7)</f>
        <v/>
      </c>
      <c r="Z7" s="276"/>
      <c r="AC7" s="76" t="e">
        <f>C7*E7*I7*$U$3*AG7</f>
        <v>#VALUE!</v>
      </c>
      <c r="AD7" s="76" t="e">
        <f>C7*E7*I7*$W$3*AH7</f>
        <v>#VALUE!</v>
      </c>
      <c r="AF7" s="79" t="b">
        <v>0</v>
      </c>
      <c r="AG7" s="76" t="str">
        <f>IF(AF7=TRUE,"0.93",IF(ISERROR(AJ7),"エラー",IF(AJ7&gt;0.93,"0.93",AJ7)))</f>
        <v>エラー</v>
      </c>
      <c r="AH7" s="76" t="str">
        <f>IF(AF7=TRUE,"0.51",IF(ISERROR(AK7),"エラー",IF(AK7&gt;0.72,"0.72",AK7)))</f>
        <v>エラー</v>
      </c>
      <c r="AJ7" s="76" t="e">
        <f>0.01*(16+24*(2*Q7+S7)/O7)</f>
        <v>#DIV/0!</v>
      </c>
      <c r="AK7" s="76" t="e">
        <f>0.01*(10+15*(2*Q7+S7)/O7)</f>
        <v>#DIV/0!</v>
      </c>
      <c r="AM7" s="76">
        <f>IF(共通条件・結果!$Z$6="８地域",G7,IF(AN7="FALSE",G7,IF(K7="風除室",1/((1/G7)+0.1),0.5*G7+0.5*(1/((1/G7)+AN7)))))</f>
        <v>0</v>
      </c>
      <c r="AN7" s="78" t="str">
        <f t="shared" ref="AN7:AN16" si="0">IF(K7="","FALSE",IF(K7="雨戸",0.1,IF(K7="ｼｬｯﾀｰ",0.1,IF(K7="障子",0.18,IF(K7="風除室",0.1)))))</f>
        <v>FALSE</v>
      </c>
    </row>
    <row r="8" spans="1:40" s="76" customFormat="1" ht="21.95" customHeight="1">
      <c r="A8" s="207"/>
      <c r="B8" s="208"/>
      <c r="C8" s="209"/>
      <c r="D8" s="210"/>
      <c r="E8" s="210"/>
      <c r="F8" s="211"/>
      <c r="G8" s="212"/>
      <c r="H8" s="212"/>
      <c r="I8" s="212"/>
      <c r="J8" s="212"/>
      <c r="K8" s="213" t="s">
        <v>85</v>
      </c>
      <c r="L8" s="213"/>
      <c r="M8" s="220"/>
      <c r="N8" s="370"/>
      <c r="O8" s="284"/>
      <c r="P8" s="222"/>
      <c r="Q8" s="285"/>
      <c r="R8" s="286"/>
      <c r="S8" s="225"/>
      <c r="T8" s="284"/>
      <c r="U8" s="205" t="str">
        <f t="shared" ref="U8:U16" si="1">IF(C8="","",AC8)</f>
        <v/>
      </c>
      <c r="V8" s="205"/>
      <c r="W8" s="205" t="str">
        <f t="shared" ref="W8:W16" si="2">IF(C8="","",IF(ISERROR(AD8),#VALUE!,AD8))</f>
        <v/>
      </c>
      <c r="X8" s="205"/>
      <c r="Y8" s="205" t="str">
        <f t="shared" ref="Y8:Y16" si="3">IF(C8="","",C8*E8*AM8)</f>
        <v/>
      </c>
      <c r="Z8" s="206"/>
      <c r="AC8" s="76" t="e">
        <f t="shared" ref="AC8:AC16" si="4">C8*E8*I8*$U$3*AG8</f>
        <v>#VALUE!</v>
      </c>
      <c r="AD8" s="76" t="e">
        <f t="shared" ref="AD8:AD16" si="5">C8*E8*I8*$W$3*AH8</f>
        <v>#VALUE!</v>
      </c>
      <c r="AF8" s="79" t="b">
        <v>0</v>
      </c>
      <c r="AG8" s="76" t="str">
        <f t="shared" ref="AG8:AG16" si="6">IF(AF8=TRUE,"0.93",IF(ISERROR(AJ8),"エラー",IF(AJ8&gt;0.93,"0.93",AJ8)))</f>
        <v>エラー</v>
      </c>
      <c r="AH8" s="76" t="str">
        <f t="shared" ref="AH8:AH16" si="7">IF(AF8=TRUE,"0.51",IF(ISERROR(AK8),"エラー",IF(AK8&gt;0.72,"0.72",AK8)))</f>
        <v>エラー</v>
      </c>
      <c r="AJ8" s="76" t="e">
        <f t="shared" ref="AJ8:AJ16" si="8">0.01*(16+24*(2*Q8+S8)/O8)</f>
        <v>#DIV/0!</v>
      </c>
      <c r="AK8" s="76" t="e">
        <f t="shared" ref="AK8:AK16" si="9">0.01*(10+15*(2*Q8+S8)/O8)</f>
        <v>#DIV/0!</v>
      </c>
      <c r="AM8" s="76" t="e">
        <f>IF(共通条件・結果!$Z$6="８地域",G8,IF(AN8="FALSE",G8,IF(K8="風除室",1/((1/G8)+0.1),0.5*G8+0.5*(1/((1/G8)+AN8)))))</f>
        <v>#DIV/0!</v>
      </c>
      <c r="AN8" s="78" t="b">
        <f t="shared" si="0"/>
        <v>0</v>
      </c>
    </row>
    <row r="9" spans="1:40" s="76" customFormat="1" ht="21.95" customHeight="1">
      <c r="A9" s="207"/>
      <c r="B9" s="208"/>
      <c r="C9" s="209"/>
      <c r="D9" s="210"/>
      <c r="E9" s="210"/>
      <c r="F9" s="211"/>
      <c r="G9" s="212"/>
      <c r="H9" s="212"/>
      <c r="I9" s="212"/>
      <c r="J9" s="212"/>
      <c r="K9" s="213" t="s">
        <v>85</v>
      </c>
      <c r="L9" s="213"/>
      <c r="M9" s="220"/>
      <c r="N9" s="370"/>
      <c r="O9" s="222"/>
      <c r="P9" s="223"/>
      <c r="Q9" s="224"/>
      <c r="R9" s="223"/>
      <c r="S9" s="224"/>
      <c r="T9" s="225"/>
      <c r="U9" s="205" t="str">
        <f t="shared" si="1"/>
        <v/>
      </c>
      <c r="V9" s="205"/>
      <c r="W9" s="205" t="str">
        <f t="shared" si="2"/>
        <v/>
      </c>
      <c r="X9" s="205"/>
      <c r="Y9" s="205" t="str">
        <f t="shared" si="3"/>
        <v/>
      </c>
      <c r="Z9" s="206"/>
      <c r="AC9" s="76" t="e">
        <f t="shared" si="4"/>
        <v>#VALUE!</v>
      </c>
      <c r="AD9" s="76" t="e">
        <f t="shared" si="5"/>
        <v>#VALUE!</v>
      </c>
      <c r="AF9" s="79" t="b">
        <v>0</v>
      </c>
      <c r="AG9" s="76" t="str">
        <f t="shared" si="6"/>
        <v>エラー</v>
      </c>
      <c r="AH9" s="76" t="str">
        <f t="shared" si="7"/>
        <v>エラー</v>
      </c>
      <c r="AJ9" s="76" t="e">
        <f t="shared" si="8"/>
        <v>#DIV/0!</v>
      </c>
      <c r="AK9" s="76" t="e">
        <f t="shared" si="9"/>
        <v>#DIV/0!</v>
      </c>
      <c r="AM9" s="76" t="e">
        <f>IF(共通条件・結果!$Z$6="８地域",G9,IF(AN9="FALSE",G9,IF(K9="風除室",1/((1/G9)+0.1),0.5*G9+0.5*(1/((1/G9)+AN9)))))</f>
        <v>#DIV/0!</v>
      </c>
      <c r="AN9" s="78" t="b">
        <f t="shared" si="0"/>
        <v>0</v>
      </c>
    </row>
    <row r="10" spans="1:40" s="76" customFormat="1" ht="21.95" customHeight="1">
      <c r="A10" s="207"/>
      <c r="B10" s="208"/>
      <c r="C10" s="209"/>
      <c r="D10" s="210"/>
      <c r="E10" s="210"/>
      <c r="F10" s="211"/>
      <c r="G10" s="212"/>
      <c r="H10" s="212"/>
      <c r="I10" s="212"/>
      <c r="J10" s="212"/>
      <c r="K10" s="213" t="s">
        <v>85</v>
      </c>
      <c r="L10" s="213"/>
      <c r="M10" s="220"/>
      <c r="N10" s="370"/>
      <c r="O10" s="222"/>
      <c r="P10" s="223"/>
      <c r="Q10" s="224"/>
      <c r="R10" s="223"/>
      <c r="S10" s="224"/>
      <c r="T10" s="225"/>
      <c r="U10" s="205" t="str">
        <f t="shared" si="1"/>
        <v/>
      </c>
      <c r="V10" s="205"/>
      <c r="W10" s="205" t="str">
        <f t="shared" si="2"/>
        <v/>
      </c>
      <c r="X10" s="205"/>
      <c r="Y10" s="205" t="str">
        <f t="shared" si="3"/>
        <v/>
      </c>
      <c r="Z10" s="206"/>
      <c r="AC10" s="76" t="e">
        <f t="shared" si="4"/>
        <v>#VALUE!</v>
      </c>
      <c r="AD10" s="76" t="e">
        <f t="shared" si="5"/>
        <v>#VALUE!</v>
      </c>
      <c r="AF10" s="79" t="b">
        <v>0</v>
      </c>
      <c r="AG10" s="76" t="str">
        <f t="shared" si="6"/>
        <v>エラー</v>
      </c>
      <c r="AH10" s="76" t="str">
        <f t="shared" si="7"/>
        <v>エラー</v>
      </c>
      <c r="AJ10" s="76" t="e">
        <f t="shared" si="8"/>
        <v>#DIV/0!</v>
      </c>
      <c r="AK10" s="76" t="e">
        <f t="shared" si="9"/>
        <v>#DIV/0!</v>
      </c>
      <c r="AM10" s="76" t="e">
        <f>IF(共通条件・結果!$Z$6="８地域",G10,IF(AN10="FALSE",G10,IF(K10="風除室",1/((1/G10)+0.1),0.5*G10+0.5*(1/((1/G10)+AN10)))))</f>
        <v>#DIV/0!</v>
      </c>
      <c r="AN10" s="78" t="b">
        <f t="shared" si="0"/>
        <v>0</v>
      </c>
    </row>
    <row r="11" spans="1:40" s="76" customFormat="1" ht="21.95" customHeight="1">
      <c r="A11" s="207"/>
      <c r="B11" s="208"/>
      <c r="C11" s="209"/>
      <c r="D11" s="210"/>
      <c r="E11" s="210"/>
      <c r="F11" s="211"/>
      <c r="G11" s="212"/>
      <c r="H11" s="212"/>
      <c r="I11" s="212"/>
      <c r="J11" s="212"/>
      <c r="K11" s="213" t="s">
        <v>85</v>
      </c>
      <c r="L11" s="213"/>
      <c r="M11" s="220"/>
      <c r="N11" s="370"/>
      <c r="O11" s="222"/>
      <c r="P11" s="223"/>
      <c r="Q11" s="224"/>
      <c r="R11" s="223"/>
      <c r="S11" s="224"/>
      <c r="T11" s="225"/>
      <c r="U11" s="205" t="str">
        <f t="shared" si="1"/>
        <v/>
      </c>
      <c r="V11" s="205"/>
      <c r="W11" s="205" t="str">
        <f t="shared" si="2"/>
        <v/>
      </c>
      <c r="X11" s="205"/>
      <c r="Y11" s="205" t="str">
        <f t="shared" si="3"/>
        <v/>
      </c>
      <c r="Z11" s="206"/>
      <c r="AC11" s="76" t="e">
        <f t="shared" si="4"/>
        <v>#VALUE!</v>
      </c>
      <c r="AD11" s="76" t="e">
        <f t="shared" si="5"/>
        <v>#VALUE!</v>
      </c>
      <c r="AF11" s="79" t="b">
        <v>0</v>
      </c>
      <c r="AG11" s="76" t="str">
        <f t="shared" si="6"/>
        <v>エラー</v>
      </c>
      <c r="AH11" s="76" t="str">
        <f t="shared" si="7"/>
        <v>エラー</v>
      </c>
      <c r="AJ11" s="76" t="e">
        <f t="shared" si="8"/>
        <v>#DIV/0!</v>
      </c>
      <c r="AK11" s="76" t="e">
        <f t="shared" si="9"/>
        <v>#DIV/0!</v>
      </c>
      <c r="AM11" s="76" t="e">
        <f>IF(共通条件・結果!$Z$6="８地域",G11,IF(AN11="FALSE",G11,IF(K11="風除室",1/((1/G11)+0.1),0.5*G11+0.5*(1/((1/G11)+AN11)))))</f>
        <v>#DIV/0!</v>
      </c>
      <c r="AN11" s="78" t="b">
        <f t="shared" si="0"/>
        <v>0</v>
      </c>
    </row>
    <row r="12" spans="1:40" s="76" customFormat="1" ht="21.95" customHeight="1">
      <c r="A12" s="207"/>
      <c r="B12" s="208"/>
      <c r="C12" s="209"/>
      <c r="D12" s="210"/>
      <c r="E12" s="210"/>
      <c r="F12" s="211"/>
      <c r="G12" s="212"/>
      <c r="H12" s="212"/>
      <c r="I12" s="212"/>
      <c r="J12" s="212"/>
      <c r="K12" s="213" t="s">
        <v>85</v>
      </c>
      <c r="L12" s="213"/>
      <c r="M12" s="220"/>
      <c r="N12" s="370"/>
      <c r="O12" s="222"/>
      <c r="P12" s="223"/>
      <c r="Q12" s="224"/>
      <c r="R12" s="223"/>
      <c r="S12" s="224"/>
      <c r="T12" s="225"/>
      <c r="U12" s="226" t="str">
        <f t="shared" si="1"/>
        <v/>
      </c>
      <c r="V12" s="227"/>
      <c r="W12" s="205" t="str">
        <f t="shared" si="2"/>
        <v/>
      </c>
      <c r="X12" s="205"/>
      <c r="Y12" s="205" t="str">
        <f t="shared" si="3"/>
        <v/>
      </c>
      <c r="Z12" s="206"/>
      <c r="AC12" s="76" t="e">
        <f t="shared" si="4"/>
        <v>#VALUE!</v>
      </c>
      <c r="AD12" s="76" t="e">
        <f t="shared" si="5"/>
        <v>#VALUE!</v>
      </c>
      <c r="AF12" s="79" t="b">
        <v>0</v>
      </c>
      <c r="AG12" s="76" t="str">
        <f t="shared" si="6"/>
        <v>エラー</v>
      </c>
      <c r="AH12" s="76" t="str">
        <f t="shared" si="7"/>
        <v>エラー</v>
      </c>
      <c r="AJ12" s="76" t="e">
        <f t="shared" si="8"/>
        <v>#DIV/0!</v>
      </c>
      <c r="AK12" s="76" t="e">
        <f t="shared" si="9"/>
        <v>#DIV/0!</v>
      </c>
      <c r="AM12" s="76" t="e">
        <f>IF(共通条件・結果!$Z$6="８地域",G12,IF(AN12="FALSE",G12,IF(K12="風除室",1/((1/G12)+0.1),0.5*G12+0.5*(1/((1/G12)+AN12)))))</f>
        <v>#DIV/0!</v>
      </c>
      <c r="AN12" s="78" t="b">
        <f t="shared" si="0"/>
        <v>0</v>
      </c>
    </row>
    <row r="13" spans="1:40" s="76" customFormat="1" ht="21.95" customHeight="1">
      <c r="A13" s="207"/>
      <c r="B13" s="208"/>
      <c r="C13" s="209"/>
      <c r="D13" s="210"/>
      <c r="E13" s="210"/>
      <c r="F13" s="211"/>
      <c r="G13" s="212"/>
      <c r="H13" s="212"/>
      <c r="I13" s="212"/>
      <c r="J13" s="212"/>
      <c r="K13" s="213" t="s">
        <v>85</v>
      </c>
      <c r="L13" s="213"/>
      <c r="M13" s="220"/>
      <c r="N13" s="370"/>
      <c r="O13" s="222"/>
      <c r="P13" s="223"/>
      <c r="Q13" s="224"/>
      <c r="R13" s="223"/>
      <c r="S13" s="224"/>
      <c r="T13" s="225"/>
      <c r="U13" s="226" t="str">
        <f t="shared" si="1"/>
        <v/>
      </c>
      <c r="V13" s="227"/>
      <c r="W13" s="205" t="str">
        <f t="shared" si="2"/>
        <v/>
      </c>
      <c r="X13" s="205"/>
      <c r="Y13" s="205" t="str">
        <f t="shared" si="3"/>
        <v/>
      </c>
      <c r="Z13" s="206"/>
      <c r="AC13" s="76" t="e">
        <f t="shared" si="4"/>
        <v>#VALUE!</v>
      </c>
      <c r="AD13" s="76" t="e">
        <f t="shared" si="5"/>
        <v>#VALUE!</v>
      </c>
      <c r="AF13" s="79" t="b">
        <v>0</v>
      </c>
      <c r="AG13" s="76" t="str">
        <f t="shared" si="6"/>
        <v>エラー</v>
      </c>
      <c r="AH13" s="76" t="str">
        <f t="shared" si="7"/>
        <v>エラー</v>
      </c>
      <c r="AJ13" s="76" t="e">
        <f t="shared" si="8"/>
        <v>#DIV/0!</v>
      </c>
      <c r="AK13" s="76" t="e">
        <f t="shared" si="9"/>
        <v>#DIV/0!</v>
      </c>
      <c r="AM13" s="76" t="e">
        <f>IF(共通条件・結果!$Z$6="８地域",G13,IF(AN13="FALSE",G13,IF(K13="風除室",1/((1/G13)+0.1),0.5*G13+0.5*(1/((1/G13)+AN13)))))</f>
        <v>#DIV/0!</v>
      </c>
      <c r="AN13" s="78" t="b">
        <f t="shared" si="0"/>
        <v>0</v>
      </c>
    </row>
    <row r="14" spans="1:40" s="76" customFormat="1" ht="21.95" customHeight="1">
      <c r="A14" s="207"/>
      <c r="B14" s="208"/>
      <c r="C14" s="209"/>
      <c r="D14" s="210"/>
      <c r="E14" s="210"/>
      <c r="F14" s="211"/>
      <c r="G14" s="212"/>
      <c r="H14" s="212"/>
      <c r="I14" s="212"/>
      <c r="J14" s="212"/>
      <c r="K14" s="213" t="s">
        <v>85</v>
      </c>
      <c r="L14" s="213"/>
      <c r="M14" s="220"/>
      <c r="N14" s="370"/>
      <c r="O14" s="284"/>
      <c r="P14" s="222"/>
      <c r="Q14" s="224"/>
      <c r="R14" s="223"/>
      <c r="S14" s="224"/>
      <c r="T14" s="225"/>
      <c r="U14" s="226" t="str">
        <f t="shared" si="1"/>
        <v/>
      </c>
      <c r="V14" s="227"/>
      <c r="W14" s="205" t="str">
        <f t="shared" si="2"/>
        <v/>
      </c>
      <c r="X14" s="205"/>
      <c r="Y14" s="205" t="str">
        <f t="shared" si="3"/>
        <v/>
      </c>
      <c r="Z14" s="206"/>
      <c r="AC14" s="76" t="e">
        <f t="shared" si="4"/>
        <v>#VALUE!</v>
      </c>
      <c r="AD14" s="76" t="e">
        <f t="shared" si="5"/>
        <v>#VALUE!</v>
      </c>
      <c r="AF14" s="79" t="b">
        <v>0</v>
      </c>
      <c r="AG14" s="76" t="str">
        <f t="shared" si="6"/>
        <v>エラー</v>
      </c>
      <c r="AH14" s="76" t="str">
        <f t="shared" si="7"/>
        <v>エラー</v>
      </c>
      <c r="AJ14" s="76" t="e">
        <f t="shared" si="8"/>
        <v>#DIV/0!</v>
      </c>
      <c r="AK14" s="76" t="e">
        <f t="shared" si="9"/>
        <v>#DIV/0!</v>
      </c>
      <c r="AM14" s="76" t="e">
        <f>IF(共通条件・結果!$Z$6="８地域",G14,IF(AN14="FALSE",G14,IF(K14="風除室",1/((1/G14)+0.1),0.5*G14+0.5*(1/((1/G14)+AN14)))))</f>
        <v>#DIV/0!</v>
      </c>
      <c r="AN14" s="78" t="b">
        <f t="shared" si="0"/>
        <v>0</v>
      </c>
    </row>
    <row r="15" spans="1:40" s="76" customFormat="1" ht="21.95" customHeight="1">
      <c r="A15" s="207"/>
      <c r="B15" s="208"/>
      <c r="C15" s="209"/>
      <c r="D15" s="210"/>
      <c r="E15" s="210"/>
      <c r="F15" s="211"/>
      <c r="G15" s="212"/>
      <c r="H15" s="212"/>
      <c r="I15" s="212"/>
      <c r="J15" s="212"/>
      <c r="K15" s="213" t="s">
        <v>85</v>
      </c>
      <c r="L15" s="213"/>
      <c r="M15" s="220"/>
      <c r="N15" s="370"/>
      <c r="O15" s="284"/>
      <c r="P15" s="222"/>
      <c r="Q15" s="285"/>
      <c r="R15" s="286"/>
      <c r="S15" s="225"/>
      <c r="T15" s="284"/>
      <c r="U15" s="226" t="str">
        <f t="shared" si="1"/>
        <v/>
      </c>
      <c r="V15" s="227"/>
      <c r="W15" s="205" t="str">
        <f t="shared" si="2"/>
        <v/>
      </c>
      <c r="X15" s="205"/>
      <c r="Y15" s="205" t="str">
        <f t="shared" si="3"/>
        <v/>
      </c>
      <c r="Z15" s="206"/>
      <c r="AC15" s="76" t="e">
        <f t="shared" si="4"/>
        <v>#VALUE!</v>
      </c>
      <c r="AD15" s="76" t="e">
        <f t="shared" si="5"/>
        <v>#VALUE!</v>
      </c>
      <c r="AF15" s="79" t="b">
        <v>0</v>
      </c>
      <c r="AG15" s="76" t="str">
        <f t="shared" si="6"/>
        <v>エラー</v>
      </c>
      <c r="AH15" s="76" t="str">
        <f t="shared" si="7"/>
        <v>エラー</v>
      </c>
      <c r="AJ15" s="76" t="e">
        <f t="shared" si="8"/>
        <v>#DIV/0!</v>
      </c>
      <c r="AK15" s="76" t="e">
        <f t="shared" si="9"/>
        <v>#DIV/0!</v>
      </c>
      <c r="AM15" s="76" t="e">
        <f>IF(共通条件・結果!$Z$6="８地域",G15,IF(AN15="FALSE",G15,IF(K15="風除室",1/((1/G15)+0.1),0.5*G15+0.5*(1/((1/G15)+AN15)))))</f>
        <v>#DIV/0!</v>
      </c>
      <c r="AN15" s="78" t="b">
        <f t="shared" si="0"/>
        <v>0</v>
      </c>
    </row>
    <row r="16" spans="1:40" s="76" customFormat="1" ht="21.95" customHeight="1" thickBot="1">
      <c r="A16" s="306"/>
      <c r="B16" s="307"/>
      <c r="C16" s="308"/>
      <c r="D16" s="295"/>
      <c r="E16" s="295"/>
      <c r="F16" s="296"/>
      <c r="G16" s="294"/>
      <c r="H16" s="294"/>
      <c r="I16" s="294"/>
      <c r="J16" s="294"/>
      <c r="K16" s="283" t="s">
        <v>85</v>
      </c>
      <c r="L16" s="283"/>
      <c r="M16" s="287"/>
      <c r="N16" s="369"/>
      <c r="O16" s="289"/>
      <c r="P16" s="290"/>
      <c r="Q16" s="291"/>
      <c r="R16" s="292"/>
      <c r="S16" s="293"/>
      <c r="T16" s="289"/>
      <c r="U16" s="226" t="str">
        <f t="shared" si="1"/>
        <v/>
      </c>
      <c r="V16" s="227"/>
      <c r="W16" s="205" t="str">
        <f t="shared" si="2"/>
        <v/>
      </c>
      <c r="X16" s="205"/>
      <c r="Y16" s="300" t="str">
        <f t="shared" si="3"/>
        <v/>
      </c>
      <c r="Z16" s="301"/>
      <c r="AC16" s="76" t="e">
        <f t="shared" si="4"/>
        <v>#VALUE!</v>
      </c>
      <c r="AD16" s="76" t="e">
        <f t="shared" si="5"/>
        <v>#VALUE!</v>
      </c>
      <c r="AF16" s="79" t="b">
        <v>0</v>
      </c>
      <c r="AG16" s="76" t="str">
        <f t="shared" si="6"/>
        <v>エラー</v>
      </c>
      <c r="AH16" s="76" t="str">
        <f t="shared" si="7"/>
        <v>エラー</v>
      </c>
      <c r="AJ16" s="76" t="e">
        <f t="shared" si="8"/>
        <v>#DIV/0!</v>
      </c>
      <c r="AK16" s="76" t="e">
        <f t="shared" si="9"/>
        <v>#DIV/0!</v>
      </c>
      <c r="AM16" s="76" t="e">
        <f>IF(共通条件・結果!$Z$6="８地域",G16,IF(AN16="FALSE",G16,IF(K16="風除室",1/((1/G16)+0.1),0.5*G16+0.5*(1/((1/G16)+AN16)))))</f>
        <v>#DIV/0!</v>
      </c>
      <c r="AN16" s="78" t="b">
        <f t="shared" si="0"/>
        <v>0</v>
      </c>
    </row>
    <row r="17" spans="1:40" s="76" customFormat="1" ht="21.95" customHeight="1" thickBot="1">
      <c r="A17" s="302" t="s">
        <v>165</v>
      </c>
      <c r="B17" s="303"/>
      <c r="C17" s="303"/>
      <c r="D17" s="303"/>
      <c r="E17" s="303"/>
      <c r="F17" s="303"/>
      <c r="G17" s="303"/>
      <c r="H17" s="303"/>
      <c r="I17" s="303"/>
      <c r="J17" s="303"/>
      <c r="K17" s="303"/>
      <c r="L17" s="303"/>
      <c r="M17" s="303"/>
      <c r="N17" s="303"/>
      <c r="O17" s="303"/>
      <c r="P17" s="303"/>
      <c r="Q17" s="303"/>
      <c r="R17" s="303"/>
      <c r="S17" s="303"/>
      <c r="T17" s="303"/>
      <c r="U17" s="304">
        <f>SUM(U7:V16)</f>
        <v>0</v>
      </c>
      <c r="V17" s="304"/>
      <c r="W17" s="304">
        <f>SUM(W7:X16)</f>
        <v>0</v>
      </c>
      <c r="X17" s="304"/>
      <c r="Y17" s="304">
        <f>SUM(Y7:Z16)</f>
        <v>0</v>
      </c>
      <c r="Z17" s="305"/>
    </row>
    <row r="18" spans="1:40" s="76" customFormat="1" ht="9.9499999999999993" customHeight="1">
      <c r="AM18" s="264"/>
      <c r="AN18" s="264"/>
    </row>
    <row r="19" spans="1:40" s="76" customFormat="1" ht="21.95" customHeight="1" thickBot="1">
      <c r="I19" s="77" t="s">
        <v>15</v>
      </c>
      <c r="J19" s="77"/>
      <c r="K19" s="77"/>
    </row>
    <row r="20" spans="1:40" s="76" customFormat="1" ht="21.95" customHeight="1">
      <c r="I20" s="352" t="s">
        <v>16</v>
      </c>
      <c r="J20" s="356"/>
      <c r="K20" s="356"/>
      <c r="L20" s="353"/>
      <c r="M20" s="237" t="s">
        <v>113</v>
      </c>
      <c r="N20" s="237"/>
      <c r="O20" s="237"/>
      <c r="P20" s="237"/>
      <c r="Q20" s="237" t="s">
        <v>7</v>
      </c>
      <c r="R20" s="237"/>
      <c r="S20" s="366" t="s">
        <v>10</v>
      </c>
      <c r="T20" s="367"/>
      <c r="U20" s="254" t="s">
        <v>88</v>
      </c>
      <c r="V20" s="237"/>
      <c r="W20" s="254" t="s">
        <v>87</v>
      </c>
      <c r="X20" s="237"/>
      <c r="Y20" s="237" t="s">
        <v>13</v>
      </c>
      <c r="Z20" s="256"/>
      <c r="AM20" s="264" t="s">
        <v>110</v>
      </c>
      <c r="AN20" s="264"/>
    </row>
    <row r="21" spans="1:40" s="76" customFormat="1" ht="21.95" customHeight="1" thickBot="1">
      <c r="I21" s="354"/>
      <c r="J21" s="248"/>
      <c r="K21" s="248"/>
      <c r="L21" s="249"/>
      <c r="M21" s="297" t="s">
        <v>9</v>
      </c>
      <c r="N21" s="298"/>
      <c r="O21" s="299" t="s">
        <v>8</v>
      </c>
      <c r="P21" s="241"/>
      <c r="Q21" s="241"/>
      <c r="R21" s="241"/>
      <c r="S21" s="368"/>
      <c r="T21" s="368"/>
      <c r="U21" s="241"/>
      <c r="V21" s="241"/>
      <c r="W21" s="241"/>
      <c r="X21" s="241"/>
      <c r="Y21" s="241"/>
      <c r="Z21" s="258"/>
      <c r="AM21" s="76" t="s">
        <v>108</v>
      </c>
      <c r="AN21" s="76" t="s">
        <v>106</v>
      </c>
    </row>
    <row r="22" spans="1:40" s="76" customFormat="1" ht="21.95" customHeight="1">
      <c r="B22" s="80"/>
      <c r="C22" s="80"/>
      <c r="D22" s="80"/>
      <c r="E22" s="80"/>
      <c r="F22" s="80"/>
      <c r="G22" s="80"/>
      <c r="H22" s="80"/>
      <c r="I22" s="218"/>
      <c r="J22" s="357"/>
      <c r="K22" s="357"/>
      <c r="L22" s="219"/>
      <c r="M22" s="279"/>
      <c r="N22" s="280"/>
      <c r="O22" s="280"/>
      <c r="P22" s="281"/>
      <c r="Q22" s="338"/>
      <c r="R22" s="338"/>
      <c r="S22" s="283"/>
      <c r="T22" s="283"/>
      <c r="U22" s="300" t="str">
        <f>IF(M22="","",M22*O22*Q22*0.034*$U$3)</f>
        <v/>
      </c>
      <c r="V22" s="300"/>
      <c r="W22" s="300" t="str">
        <f>IF(M22="","",IF(ISERROR(M22*O22*Q22*0.034*$W$3),"-",M22*O22*Q22*0.034*$W$3))</f>
        <v/>
      </c>
      <c r="X22" s="300"/>
      <c r="Y22" s="300" t="str">
        <f>IF(M22="","",M22*O22*AM22)</f>
        <v/>
      </c>
      <c r="Z22" s="301"/>
      <c r="AM22" s="76">
        <f>IF(共通条件・結果!$Z$6="８地域",Q22,IF(AN22="FALSE",Q22,IF(S22="風除室",1/((1/Q22)+0.1),0.5*Q22+0.5*(1/((1/Q22)+AN22)))))</f>
        <v>0</v>
      </c>
      <c r="AN22" s="78" t="str">
        <f>IF(S22="","FALSE",IF(S22="雨戸",0.1,IF(S22="ｼｬｯﾀｰ",0.1,IF(S22="障子",0.18,IF(S22="風除室",0.1)))))</f>
        <v>FALSE</v>
      </c>
    </row>
    <row r="23" spans="1:40" s="76" customFormat="1" ht="21.95" customHeight="1" thickBot="1">
      <c r="B23" s="80"/>
      <c r="C23" s="80"/>
      <c r="D23" s="80"/>
      <c r="E23" s="80"/>
      <c r="F23" s="80"/>
      <c r="G23" s="80"/>
      <c r="H23" s="80"/>
      <c r="I23" s="214"/>
      <c r="J23" s="358"/>
      <c r="K23" s="358"/>
      <c r="L23" s="215"/>
      <c r="M23" s="308"/>
      <c r="N23" s="295"/>
      <c r="O23" s="295"/>
      <c r="P23" s="296"/>
      <c r="Q23" s="294"/>
      <c r="R23" s="294"/>
      <c r="S23" s="213" t="s">
        <v>85</v>
      </c>
      <c r="T23" s="213"/>
      <c r="U23" s="350" t="str">
        <f>IF(M23="","",M23*O23*Q23*0.034*$U$3)</f>
        <v/>
      </c>
      <c r="V23" s="350"/>
      <c r="W23" s="350" t="str">
        <f>IF(M23="","",IF(ISERROR(M23*O23*Q23*0.034*$W$3),"-",M23*O23*Q23*0.034*$W$3))</f>
        <v/>
      </c>
      <c r="X23" s="350"/>
      <c r="Y23" s="350" t="str">
        <f>IF(M23="","",M23*O23*AM23)</f>
        <v/>
      </c>
      <c r="Z23" s="351"/>
      <c r="AM23" s="76" t="e">
        <f>IF(共通条件・結果!$Z$6="８地域",Q23,IF(AN23="FALSE",Q23,IF(S23="風除室",1/((1/Q23)+0.1),0.5*Q23+0.5*(1/((1/Q23)+AN23)))))</f>
        <v>#DIV/0!</v>
      </c>
      <c r="AN23" s="78" t="b">
        <f>IF(S23="","FALSE",IF(S23="雨戸",0.1,IF(S23="ｼｬｯﾀｰ",0.1,IF(S23="障子",0.18,IF(S23="風除室",0.1)))))</f>
        <v>0</v>
      </c>
    </row>
    <row r="24" spans="1:40" s="76" customFormat="1" ht="21.95" customHeight="1" thickBot="1">
      <c r="B24" s="80"/>
      <c r="C24" s="80"/>
      <c r="D24" s="80"/>
      <c r="E24" s="80"/>
      <c r="F24" s="80"/>
      <c r="G24" s="80"/>
      <c r="H24" s="80"/>
      <c r="I24" s="302" t="s">
        <v>179</v>
      </c>
      <c r="J24" s="303"/>
      <c r="K24" s="303"/>
      <c r="L24" s="303"/>
      <c r="M24" s="303"/>
      <c r="N24" s="303"/>
      <c r="O24" s="303"/>
      <c r="P24" s="303"/>
      <c r="Q24" s="303"/>
      <c r="R24" s="303"/>
      <c r="S24" s="303"/>
      <c r="T24" s="355"/>
      <c r="U24" s="304">
        <f>SUM(U22:V23)</f>
        <v>0</v>
      </c>
      <c r="V24" s="304"/>
      <c r="W24" s="304">
        <f>SUM(W22:X23)</f>
        <v>0</v>
      </c>
      <c r="X24" s="304"/>
      <c r="Y24" s="304">
        <f>SUM(Y22:Z23)</f>
        <v>0</v>
      </c>
      <c r="Z24" s="305"/>
      <c r="AN24" s="78"/>
    </row>
    <row r="25" spans="1:40" s="76" customFormat="1" ht="9.9499999999999993" customHeight="1">
      <c r="B25" s="80"/>
      <c r="C25" s="80"/>
      <c r="D25" s="80"/>
      <c r="E25" s="80"/>
      <c r="F25" s="80"/>
      <c r="G25" s="80"/>
      <c r="H25" s="80"/>
      <c r="I25" s="80"/>
      <c r="AN25" s="78"/>
    </row>
    <row r="26" spans="1:40" s="76" customFormat="1" ht="21.95" customHeight="1" thickBot="1">
      <c r="B26" s="80"/>
      <c r="C26" s="80"/>
      <c r="D26" s="80"/>
      <c r="E26" s="80"/>
      <c r="F26" s="80"/>
      <c r="G26" s="80"/>
      <c r="H26" s="80"/>
      <c r="I26" s="77" t="s">
        <v>17</v>
      </c>
      <c r="J26" s="77"/>
      <c r="K26" s="77"/>
      <c r="AN26" s="78"/>
    </row>
    <row r="27" spans="1:40" s="76" customFormat="1" ht="21.95" customHeight="1">
      <c r="B27" s="80"/>
      <c r="C27" s="80"/>
      <c r="D27" s="80"/>
      <c r="E27" s="80"/>
      <c r="F27" s="80"/>
      <c r="G27" s="80"/>
      <c r="H27" s="80"/>
      <c r="I27" s="352" t="s">
        <v>0</v>
      </c>
      <c r="J27" s="353"/>
      <c r="K27" s="363" t="s">
        <v>62</v>
      </c>
      <c r="L27" s="364"/>
      <c r="M27" s="363" t="s">
        <v>200</v>
      </c>
      <c r="N27" s="364"/>
      <c r="O27" s="339" t="s">
        <v>63</v>
      </c>
      <c r="P27" s="340"/>
      <c r="Q27" s="237" t="s">
        <v>7</v>
      </c>
      <c r="R27" s="237"/>
      <c r="S27" s="359" t="s">
        <v>180</v>
      </c>
      <c r="T27" s="360"/>
      <c r="U27" s="254" t="s">
        <v>88</v>
      </c>
      <c r="V27" s="237"/>
      <c r="W27" s="254" t="s">
        <v>87</v>
      </c>
      <c r="X27" s="237"/>
      <c r="Y27" s="237" t="s">
        <v>13</v>
      </c>
      <c r="Z27" s="256"/>
      <c r="AC27" s="79"/>
      <c r="AD27" s="79"/>
      <c r="AE27" s="79"/>
      <c r="AN27" s="78"/>
    </row>
    <row r="28" spans="1:40" s="76" customFormat="1" ht="21.95" customHeight="1" thickBot="1">
      <c r="B28" s="80"/>
      <c r="C28" s="80"/>
      <c r="D28" s="80"/>
      <c r="E28" s="80"/>
      <c r="F28" s="80"/>
      <c r="G28" s="80"/>
      <c r="H28" s="80"/>
      <c r="I28" s="354"/>
      <c r="J28" s="249"/>
      <c r="K28" s="252"/>
      <c r="L28" s="365"/>
      <c r="M28" s="252"/>
      <c r="N28" s="365"/>
      <c r="O28" s="341"/>
      <c r="P28" s="342"/>
      <c r="Q28" s="241"/>
      <c r="R28" s="241"/>
      <c r="S28" s="361"/>
      <c r="T28" s="362"/>
      <c r="U28" s="241"/>
      <c r="V28" s="241"/>
      <c r="W28" s="241"/>
      <c r="X28" s="241"/>
      <c r="Y28" s="241"/>
      <c r="Z28" s="258"/>
      <c r="AD28" s="76" t="s">
        <v>170</v>
      </c>
      <c r="AE28" s="76" t="s">
        <v>171</v>
      </c>
    </row>
    <row r="29" spans="1:40" s="76" customFormat="1" ht="21.95" customHeight="1">
      <c r="B29" s="80"/>
      <c r="C29" s="80"/>
      <c r="D29" s="80"/>
      <c r="E29" s="80"/>
      <c r="F29" s="80"/>
      <c r="G29" s="80"/>
      <c r="H29" s="80"/>
      <c r="I29" s="218"/>
      <c r="J29" s="219"/>
      <c r="K29" s="334"/>
      <c r="L29" s="335"/>
      <c r="M29" s="334"/>
      <c r="N29" s="335"/>
      <c r="O29" s="336" t="str">
        <f>IF(K29="","",K29-M29)</f>
        <v/>
      </c>
      <c r="P29" s="337"/>
      <c r="Q29" s="338"/>
      <c r="R29" s="338"/>
      <c r="S29" s="338"/>
      <c r="T29" s="338"/>
      <c r="U29" s="205" t="str">
        <f>IF(O29="","",IF(AC29=TRUE,0,O29*Q29*0.034*$U$3))</f>
        <v/>
      </c>
      <c r="V29" s="205"/>
      <c r="W29" s="226" t="str">
        <f>IF(O29="","",IF(ISERROR(O29*Q29*0.034*$W$3),"-",IF(AC29=TRUE,0,O29*Q29*0.034*$W$3)))</f>
        <v/>
      </c>
      <c r="X29" s="227"/>
      <c r="Y29" s="270" t="str">
        <f>IF(Q29="","",IF(AC29=TRUE,0.7*Q29*O29,Q29*O29))</f>
        <v/>
      </c>
      <c r="Z29" s="276"/>
      <c r="AC29" s="79" t="b">
        <v>0</v>
      </c>
      <c r="AD29" s="79">
        <f>IF(AC29=TRUE,0.7,1)</f>
        <v>1</v>
      </c>
      <c r="AE29" s="79" t="str">
        <f>IF(AC29=TRUE,0,"セル")</f>
        <v>セル</v>
      </c>
    </row>
    <row r="30" spans="1:40" s="76" customFormat="1" ht="21.95" customHeight="1">
      <c r="B30" s="80"/>
      <c r="C30" s="80"/>
      <c r="D30" s="80"/>
      <c r="E30" s="80"/>
      <c r="F30" s="80"/>
      <c r="G30" s="80"/>
      <c r="H30" s="80"/>
      <c r="I30" s="216"/>
      <c r="J30" s="217"/>
      <c r="K30" s="332"/>
      <c r="L30" s="333"/>
      <c r="M30" s="332"/>
      <c r="N30" s="333"/>
      <c r="O30" s="330" t="str">
        <f>IF(K30="","",K30-M30)</f>
        <v/>
      </c>
      <c r="P30" s="331"/>
      <c r="Q30" s="212"/>
      <c r="R30" s="212"/>
      <c r="S30" s="212"/>
      <c r="T30" s="212"/>
      <c r="U30" s="205" t="str">
        <f>IF(O30="","",IF(AC30=TRUE,0,O30*Q30*0.034*$U$3))</f>
        <v/>
      </c>
      <c r="V30" s="205"/>
      <c r="W30" s="226" t="str">
        <f>IF(O30="","",IF(ISERROR(O30*Q30*0.034*$W$3),"-",IF(AC30=TRUE,0,O30*Q30*0.034*$W$3)))</f>
        <v/>
      </c>
      <c r="X30" s="227"/>
      <c r="Y30" s="205" t="str">
        <f>IF(Q30="","",IF(AC30=TRUE,0.7*Q30*O30,Q30*O30))</f>
        <v/>
      </c>
      <c r="Z30" s="206"/>
      <c r="AC30" s="79" t="b">
        <v>0</v>
      </c>
      <c r="AD30" s="79">
        <f>IF(AC30=TRUE,0.7,1)</f>
        <v>1</v>
      </c>
      <c r="AE30" s="79" t="str">
        <f>IF(AC30=TRUE,0,"セル")</f>
        <v>セル</v>
      </c>
    </row>
    <row r="31" spans="1:40" s="76" customFormat="1" ht="21.95" customHeight="1" thickBot="1">
      <c r="I31" s="214"/>
      <c r="J31" s="215"/>
      <c r="K31" s="345"/>
      <c r="L31" s="346"/>
      <c r="M31" s="345"/>
      <c r="N31" s="346"/>
      <c r="O31" s="347" t="str">
        <f>IF(K31="","",K31-M31)</f>
        <v/>
      </c>
      <c r="P31" s="348"/>
      <c r="Q31" s="349"/>
      <c r="R31" s="349"/>
      <c r="S31" s="349"/>
      <c r="T31" s="349"/>
      <c r="U31" s="300" t="str">
        <f>IF(O31="","",IF(AC31=TRUE,0,O31*Q31*0.034*$U$3))</f>
        <v/>
      </c>
      <c r="V31" s="300"/>
      <c r="W31" s="343" t="str">
        <f>IF(O31="","",IF(ISERROR(O31*Q31*0.034*$W$3),"-",IF(AC31=TRUE,0,O31*Q31*0.034*$W$3)))</f>
        <v/>
      </c>
      <c r="X31" s="344"/>
      <c r="Y31" s="300" t="str">
        <f>IF(Q31="","",IF(AC31=TRUE,0.7*Q31*O31,Q31*O31))</f>
        <v/>
      </c>
      <c r="Z31" s="301"/>
      <c r="AC31" s="79" t="b">
        <v>0</v>
      </c>
      <c r="AD31" s="79">
        <f>IF(AC31=TRUE,0.7,1)</f>
        <v>1</v>
      </c>
      <c r="AE31" s="79" t="str">
        <f>IF(AC31=TRUE,0,"セル")</f>
        <v>セル</v>
      </c>
    </row>
    <row r="32" spans="1:40" s="76" customFormat="1" ht="21.95" customHeight="1" thickBot="1">
      <c r="I32" s="302" t="s">
        <v>166</v>
      </c>
      <c r="J32" s="303"/>
      <c r="K32" s="303"/>
      <c r="L32" s="303"/>
      <c r="M32" s="303"/>
      <c r="N32" s="303"/>
      <c r="O32" s="303"/>
      <c r="P32" s="303"/>
      <c r="Q32" s="303"/>
      <c r="R32" s="303"/>
      <c r="S32" s="303"/>
      <c r="T32" s="355"/>
      <c r="U32" s="304">
        <f>SUM(U29:V31)</f>
        <v>0</v>
      </c>
      <c r="V32" s="304"/>
      <c r="W32" s="304">
        <f>SUM(W29:X31)</f>
        <v>0</v>
      </c>
      <c r="X32" s="304"/>
      <c r="Y32" s="304">
        <f>SUM(Y29:Z31)</f>
        <v>0</v>
      </c>
      <c r="Z32" s="305"/>
    </row>
    <row r="33" spans="1:26" s="76" customFormat="1" ht="9.9499999999999993" customHeight="1"/>
    <row r="34" spans="1:26" s="76" customFormat="1" ht="21.95" customHeight="1" thickBot="1">
      <c r="A34" s="77" t="s">
        <v>167</v>
      </c>
    </row>
    <row r="35" spans="1:26" s="76" customFormat="1" ht="21.95" customHeight="1">
      <c r="A35" s="309" t="s">
        <v>136</v>
      </c>
      <c r="B35" s="310"/>
      <c r="C35" s="323" t="s">
        <v>65</v>
      </c>
      <c r="D35" s="324"/>
      <c r="E35" s="324"/>
      <c r="F35" s="324"/>
      <c r="G35" s="324"/>
      <c r="H35" s="324"/>
      <c r="I35" s="325"/>
      <c r="J35" s="81"/>
      <c r="K35" s="319">
        <f>P35+T35+X35</f>
        <v>0</v>
      </c>
      <c r="L35" s="319"/>
      <c r="M35" s="319"/>
      <c r="N35" s="81" t="s">
        <v>24</v>
      </c>
      <c r="O35" s="82" t="s">
        <v>23</v>
      </c>
      <c r="P35" s="320">
        <f>C7*E7+C8*E8+C9*E9+C10*E10+C11*E11+C12*E12+C13*E13+C14*E14+C15*E15+C16*E16</f>
        <v>0</v>
      </c>
      <c r="Q35" s="320"/>
      <c r="R35" s="83" t="s">
        <v>25</v>
      </c>
      <c r="S35" s="83" t="s">
        <v>22</v>
      </c>
      <c r="T35" s="321">
        <f>M22*O22+M23*O23</f>
        <v>0</v>
      </c>
      <c r="U35" s="321"/>
      <c r="V35" s="83" t="s">
        <v>25</v>
      </c>
      <c r="W35" s="83" t="s">
        <v>1</v>
      </c>
      <c r="X35" s="322">
        <f>SUM(O29:P31)</f>
        <v>0</v>
      </c>
      <c r="Y35" s="322"/>
      <c r="Z35" s="84" t="s">
        <v>19</v>
      </c>
    </row>
    <row r="36" spans="1:26" s="76" customFormat="1" ht="21.95" customHeight="1">
      <c r="A36" s="311"/>
      <c r="B36" s="312"/>
      <c r="C36" s="315" t="s">
        <v>92</v>
      </c>
      <c r="D36" s="316"/>
      <c r="E36" s="316"/>
      <c r="F36" s="316"/>
      <c r="G36" s="316"/>
      <c r="H36" s="316"/>
      <c r="I36" s="317"/>
      <c r="J36" s="85"/>
      <c r="K36" s="85"/>
      <c r="L36" s="85"/>
      <c r="M36" s="85"/>
      <c r="N36" s="85"/>
      <c r="O36" s="85"/>
      <c r="P36" s="85"/>
      <c r="Q36" s="85"/>
      <c r="R36" s="85"/>
      <c r="S36" s="85"/>
      <c r="T36" s="85"/>
      <c r="U36" s="85"/>
      <c r="V36" s="318">
        <f>U17+U24+U32</f>
        <v>0</v>
      </c>
      <c r="W36" s="318"/>
      <c r="X36" s="318"/>
      <c r="Y36" s="85"/>
      <c r="Z36" s="86"/>
    </row>
    <row r="37" spans="1:26" s="76" customFormat="1" ht="21.95" customHeight="1">
      <c r="A37" s="311"/>
      <c r="B37" s="312"/>
      <c r="C37" s="315" t="s">
        <v>93</v>
      </c>
      <c r="D37" s="316"/>
      <c r="E37" s="316"/>
      <c r="F37" s="316"/>
      <c r="G37" s="316"/>
      <c r="H37" s="316"/>
      <c r="I37" s="317"/>
      <c r="J37" s="85"/>
      <c r="K37" s="85"/>
      <c r="L37" s="85"/>
      <c r="M37" s="85"/>
      <c r="N37" s="85"/>
      <c r="O37" s="85"/>
      <c r="P37" s="85"/>
      <c r="Q37" s="85"/>
      <c r="R37" s="85"/>
      <c r="S37" s="85"/>
      <c r="T37" s="85"/>
      <c r="U37" s="85"/>
      <c r="V37" s="318">
        <f>W17+W24+W32</f>
        <v>0</v>
      </c>
      <c r="W37" s="318"/>
      <c r="X37" s="318"/>
      <c r="Y37" s="85"/>
      <c r="Z37" s="86"/>
    </row>
    <row r="38" spans="1:26" s="76" customFormat="1" ht="21.95" customHeight="1" thickBot="1">
      <c r="A38" s="313"/>
      <c r="B38" s="314"/>
      <c r="C38" s="326" t="s">
        <v>20</v>
      </c>
      <c r="D38" s="327"/>
      <c r="E38" s="327"/>
      <c r="F38" s="327"/>
      <c r="G38" s="327"/>
      <c r="H38" s="327"/>
      <c r="I38" s="328"/>
      <c r="J38" s="87"/>
      <c r="K38" s="87"/>
      <c r="L38" s="87"/>
      <c r="M38" s="87"/>
      <c r="N38" s="87"/>
      <c r="O38" s="87"/>
      <c r="P38" s="87"/>
      <c r="Q38" s="87"/>
      <c r="R38" s="87"/>
      <c r="S38" s="87"/>
      <c r="T38" s="87"/>
      <c r="U38" s="87"/>
      <c r="V38" s="329">
        <f>Y17+Y24+Y32</f>
        <v>0</v>
      </c>
      <c r="W38" s="329"/>
      <c r="X38" s="329"/>
      <c r="Y38" s="88" t="s">
        <v>21</v>
      </c>
      <c r="Z38" s="89"/>
    </row>
    <row r="39" spans="1:26" s="76" customFormat="1" ht="21.95" customHeight="1"/>
    <row r="40" spans="1:26" s="76" customFormat="1" ht="21.95" customHeight="1"/>
    <row r="41" spans="1:26" s="76" customFormat="1" ht="21.95" customHeight="1"/>
    <row r="42" spans="1:26" s="76" customFormat="1" ht="21.95" customHeight="1"/>
    <row r="43" spans="1:26" s="76" customFormat="1" ht="21.95" customHeight="1"/>
    <row r="44" spans="1:26" s="76" customFormat="1" ht="21.95" customHeight="1"/>
    <row r="45" spans="1:26" s="76" customFormat="1" ht="21.95" customHeight="1"/>
    <row r="46" spans="1:26" s="76" customFormat="1" ht="21.95" customHeight="1"/>
    <row r="47" spans="1:26" s="76" customFormat="1" ht="21.95" customHeight="1"/>
    <row r="48" spans="1:26" s="76" customFormat="1" ht="21.95" customHeight="1"/>
    <row r="49" s="76" customFormat="1" ht="21.95" customHeight="1"/>
    <row r="50" s="76" customFormat="1" ht="21.95" customHeight="1"/>
    <row r="51" s="76" customFormat="1" ht="21.95" customHeight="1"/>
    <row r="52" s="76" customFormat="1" ht="21.95" customHeight="1"/>
    <row r="53" s="76" customFormat="1" ht="21.95" customHeight="1"/>
    <row r="54" s="76" customFormat="1" ht="21.95" customHeight="1"/>
    <row r="55" s="76" customFormat="1" ht="24.95" customHeight="1"/>
    <row r="56" s="76" customFormat="1" ht="24.95" customHeight="1"/>
    <row r="57" s="76" customFormat="1" ht="24.95" customHeight="1"/>
    <row r="58" s="76" customFormat="1" ht="24.95" customHeight="1"/>
    <row r="59" s="76" customFormat="1" ht="24.95" customHeight="1"/>
    <row r="60" s="76" customFormat="1" ht="24.95" customHeight="1"/>
    <row r="61" s="76" customFormat="1" ht="24.95" customHeight="1"/>
    <row r="62" s="76" customFormat="1" ht="24.95" customHeight="1"/>
    <row r="63" s="76" customFormat="1" ht="24.95" customHeight="1"/>
    <row r="64" s="76" customFormat="1" ht="24.95" customHeight="1"/>
    <row r="65" s="76" customFormat="1" ht="24.95" customHeight="1"/>
    <row r="66" s="76" customFormat="1" ht="24.95" customHeight="1"/>
    <row r="67" s="76" customFormat="1" ht="24.95" customHeight="1"/>
    <row r="68" s="76" customFormat="1" ht="24.95" customHeight="1"/>
    <row r="69" s="76" customFormat="1" ht="24.95" customHeight="1"/>
    <row r="70" s="76" customFormat="1" ht="24.95" customHeight="1"/>
    <row r="71" s="76" customFormat="1" ht="24.95" customHeight="1"/>
    <row r="72" s="76" customFormat="1" ht="24.95" customHeight="1"/>
    <row r="73" s="76" customFormat="1" ht="24.95" customHeight="1"/>
    <row r="74" s="76" customFormat="1" ht="24.95" customHeight="1"/>
    <row r="75" s="76" customFormat="1" ht="24.95" customHeight="1"/>
    <row r="76" s="76" customFormat="1" ht="24.95" customHeight="1"/>
    <row r="77" s="76" customFormat="1" ht="24.95" customHeight="1"/>
    <row r="78" s="76" customFormat="1" ht="24.95" customHeight="1"/>
    <row r="79" s="76" customFormat="1" ht="24.95" customHeight="1"/>
    <row r="80" s="76" customFormat="1" ht="24.95" customHeight="1"/>
    <row r="81" s="76" customFormat="1" ht="24.95" customHeight="1"/>
    <row r="82" s="76" customFormat="1" ht="24.95" customHeight="1"/>
    <row r="83" s="76" customFormat="1" ht="24.95" customHeight="1"/>
    <row r="84" s="76" customFormat="1" ht="24.95" customHeight="1"/>
    <row r="85" s="76" customFormat="1" ht="24.95" customHeight="1"/>
    <row r="86" s="76" customFormat="1" ht="24.95" customHeight="1"/>
    <row r="87" s="76" customFormat="1" ht="24.95" customHeight="1"/>
    <row r="88" s="90" customFormat="1" ht="24.95" customHeight="1"/>
    <row r="89" s="90" customFormat="1" ht="24.95" customHeight="1"/>
    <row r="90" ht="24.95" customHeight="1"/>
    <row r="91" ht="24.95" customHeight="1"/>
    <row r="92" ht="24.95" customHeight="1"/>
    <row r="93" ht="24.95" customHeight="1"/>
    <row r="94" ht="24.95" customHeight="1"/>
    <row r="95" ht="24.95" customHeight="1"/>
    <row r="96" ht="24.95" customHeight="1"/>
    <row r="97" ht="24.95" customHeight="1"/>
    <row r="98" ht="24.95" customHeight="1"/>
    <row r="99" ht="24.95" customHeight="1"/>
    <row r="100" ht="24.95" customHeight="1"/>
  </sheetData>
  <sheetProtection sheet="1" objects="1" scenarios="1"/>
  <mergeCells count="241">
    <mergeCell ref="I23:L23"/>
    <mergeCell ref="I27:J28"/>
    <mergeCell ref="I24:T24"/>
    <mergeCell ref="I32:T32"/>
    <mergeCell ref="C5:D6"/>
    <mergeCell ref="E5:F6"/>
    <mergeCell ref="M5:N6"/>
    <mergeCell ref="O5:T5"/>
    <mergeCell ref="M7:N7"/>
    <mergeCell ref="O7:P7"/>
    <mergeCell ref="S9:T9"/>
    <mergeCell ref="S11:T11"/>
    <mergeCell ref="S13:T13"/>
    <mergeCell ref="M22:N22"/>
    <mergeCell ref="O22:P22"/>
    <mergeCell ref="Q22:R22"/>
    <mergeCell ref="S22:T22"/>
    <mergeCell ref="I20:L21"/>
    <mergeCell ref="I22:L22"/>
    <mergeCell ref="K30:L30"/>
    <mergeCell ref="M30:N30"/>
    <mergeCell ref="O30:P30"/>
    <mergeCell ref="I30:J30"/>
    <mergeCell ref="I29:J29"/>
    <mergeCell ref="A1:Z1"/>
    <mergeCell ref="Q3:T3"/>
    <mergeCell ref="U3:V3"/>
    <mergeCell ref="W3:X3"/>
    <mergeCell ref="A4:B6"/>
    <mergeCell ref="C4:F4"/>
    <mergeCell ref="G4:H6"/>
    <mergeCell ref="I4:J6"/>
    <mergeCell ref="K4:L6"/>
    <mergeCell ref="M4:T4"/>
    <mergeCell ref="I7:J7"/>
    <mergeCell ref="K7:L7"/>
    <mergeCell ref="Q7:R7"/>
    <mergeCell ref="S7:T7"/>
    <mergeCell ref="U7:V7"/>
    <mergeCell ref="AC5:AD5"/>
    <mergeCell ref="AG5:AH5"/>
    <mergeCell ref="AJ5:AK5"/>
    <mergeCell ref="AM5:AN5"/>
    <mergeCell ref="O6:P6"/>
    <mergeCell ref="Q6:R6"/>
    <mergeCell ref="S6:T6"/>
    <mergeCell ref="U4:V6"/>
    <mergeCell ref="W4:X6"/>
    <mergeCell ref="Y4:Z6"/>
    <mergeCell ref="I9:J9"/>
    <mergeCell ref="K9:L9"/>
    <mergeCell ref="M9:N9"/>
    <mergeCell ref="O9:P9"/>
    <mergeCell ref="Q9:R9"/>
    <mergeCell ref="W7:X7"/>
    <mergeCell ref="Y7:Z7"/>
    <mergeCell ref="A8:B8"/>
    <mergeCell ref="C8:D8"/>
    <mergeCell ref="E8:F8"/>
    <mergeCell ref="G8:H8"/>
    <mergeCell ref="I8:J8"/>
    <mergeCell ref="K8:L8"/>
    <mergeCell ref="M8:N8"/>
    <mergeCell ref="O8:P8"/>
    <mergeCell ref="Q8:R8"/>
    <mergeCell ref="S8:T8"/>
    <mergeCell ref="U8:V8"/>
    <mergeCell ref="W8:X8"/>
    <mergeCell ref="Y8:Z8"/>
    <mergeCell ref="A7:B7"/>
    <mergeCell ref="C7:D7"/>
    <mergeCell ref="E7:F7"/>
    <mergeCell ref="G7:H7"/>
    <mergeCell ref="K11:L11"/>
    <mergeCell ref="M11:N11"/>
    <mergeCell ref="O11:P11"/>
    <mergeCell ref="Q11:R11"/>
    <mergeCell ref="U9:V9"/>
    <mergeCell ref="W9:X9"/>
    <mergeCell ref="Y9:Z9"/>
    <mergeCell ref="A10:B10"/>
    <mergeCell ref="C10:D10"/>
    <mergeCell ref="E10:F10"/>
    <mergeCell ref="G10:H10"/>
    <mergeCell ref="I10:J10"/>
    <mergeCell ref="K10:L10"/>
    <mergeCell ref="M10:N10"/>
    <mergeCell ref="O10:P10"/>
    <mergeCell ref="Q10:R10"/>
    <mergeCell ref="S10:T10"/>
    <mergeCell ref="U10:V10"/>
    <mergeCell ref="W10:X10"/>
    <mergeCell ref="Y10:Z10"/>
    <mergeCell ref="A9:B9"/>
    <mergeCell ref="C9:D9"/>
    <mergeCell ref="E9:F9"/>
    <mergeCell ref="G9:H9"/>
    <mergeCell ref="M13:N13"/>
    <mergeCell ref="O13:P13"/>
    <mergeCell ref="Q13:R13"/>
    <mergeCell ref="U11:V11"/>
    <mergeCell ref="W11:X11"/>
    <mergeCell ref="Y11:Z11"/>
    <mergeCell ref="A12:B12"/>
    <mergeCell ref="C12:D12"/>
    <mergeCell ref="E12:F12"/>
    <mergeCell ref="G12:H12"/>
    <mergeCell ref="I12:J12"/>
    <mergeCell ref="K12:L12"/>
    <mergeCell ref="M12:N12"/>
    <mergeCell ref="O12:P12"/>
    <mergeCell ref="Q12:R12"/>
    <mergeCell ref="S12:T12"/>
    <mergeCell ref="U12:V12"/>
    <mergeCell ref="W12:X12"/>
    <mergeCell ref="Y12:Z12"/>
    <mergeCell ref="A11:B11"/>
    <mergeCell ref="C11:D11"/>
    <mergeCell ref="E11:F11"/>
    <mergeCell ref="G11:H11"/>
    <mergeCell ref="I11:J11"/>
    <mergeCell ref="Y15:Z15"/>
    <mergeCell ref="W15:X15"/>
    <mergeCell ref="U13:V13"/>
    <mergeCell ref="W13:X13"/>
    <mergeCell ref="Y13:Z13"/>
    <mergeCell ref="A14:B14"/>
    <mergeCell ref="C14:D14"/>
    <mergeCell ref="E14:F14"/>
    <mergeCell ref="G14:H14"/>
    <mergeCell ref="I14:J14"/>
    <mergeCell ref="K14:L14"/>
    <mergeCell ref="M14:N14"/>
    <mergeCell ref="O14:P14"/>
    <mergeCell ref="Q14:R14"/>
    <mergeCell ref="S14:T14"/>
    <mergeCell ref="U14:V14"/>
    <mergeCell ref="W14:X14"/>
    <mergeCell ref="Y14:Z14"/>
    <mergeCell ref="A13:B13"/>
    <mergeCell ref="C13:D13"/>
    <mergeCell ref="E13:F13"/>
    <mergeCell ref="G13:H13"/>
    <mergeCell ref="I13:J13"/>
    <mergeCell ref="K13:L13"/>
    <mergeCell ref="Q15:R15"/>
    <mergeCell ref="S15:T15"/>
    <mergeCell ref="U15:V15"/>
    <mergeCell ref="A15:B15"/>
    <mergeCell ref="C15:D15"/>
    <mergeCell ref="E15:F15"/>
    <mergeCell ref="G15:H15"/>
    <mergeCell ref="I15:J15"/>
    <mergeCell ref="K15:L15"/>
    <mergeCell ref="M15:N15"/>
    <mergeCell ref="O15:P15"/>
    <mergeCell ref="W16:X16"/>
    <mergeCell ref="Y16:Z16"/>
    <mergeCell ref="A17:T17"/>
    <mergeCell ref="U17:V17"/>
    <mergeCell ref="W17:X17"/>
    <mergeCell ref="Y17:Z17"/>
    <mergeCell ref="K16:L16"/>
    <mergeCell ref="M16:N16"/>
    <mergeCell ref="O16:P16"/>
    <mergeCell ref="Q16:R16"/>
    <mergeCell ref="A16:B16"/>
    <mergeCell ref="C16:D16"/>
    <mergeCell ref="E16:F16"/>
    <mergeCell ref="G16:H16"/>
    <mergeCell ref="I16:J16"/>
    <mergeCell ref="S16:T16"/>
    <mergeCell ref="U16:V16"/>
    <mergeCell ref="AM18:AN18"/>
    <mergeCell ref="M20:P20"/>
    <mergeCell ref="Q20:R21"/>
    <mergeCell ref="S20:T21"/>
    <mergeCell ref="U20:V21"/>
    <mergeCell ref="W20:X21"/>
    <mergeCell ref="Y20:Z21"/>
    <mergeCell ref="AM20:AN20"/>
    <mergeCell ref="M21:N21"/>
    <mergeCell ref="O21:P21"/>
    <mergeCell ref="U22:V22"/>
    <mergeCell ref="W22:X22"/>
    <mergeCell ref="Y22:Z22"/>
    <mergeCell ref="M23:N23"/>
    <mergeCell ref="O23:P23"/>
    <mergeCell ref="Q23:R23"/>
    <mergeCell ref="S23:T23"/>
    <mergeCell ref="U23:V23"/>
    <mergeCell ref="W23:X23"/>
    <mergeCell ref="Y23:Z23"/>
    <mergeCell ref="U24:V24"/>
    <mergeCell ref="W24:X24"/>
    <mergeCell ref="Y24:Z24"/>
    <mergeCell ref="K27:L28"/>
    <mergeCell ref="M27:N28"/>
    <mergeCell ref="O27:P28"/>
    <mergeCell ref="Q27:R28"/>
    <mergeCell ref="S27:T28"/>
    <mergeCell ref="K29:L29"/>
    <mergeCell ref="M29:N29"/>
    <mergeCell ref="O29:P29"/>
    <mergeCell ref="Q29:R29"/>
    <mergeCell ref="S29:T29"/>
    <mergeCell ref="U29:V29"/>
    <mergeCell ref="W30:X30"/>
    <mergeCell ref="Y30:Z30"/>
    <mergeCell ref="U27:V28"/>
    <mergeCell ref="W27:X28"/>
    <mergeCell ref="Y27:Z28"/>
    <mergeCell ref="W29:X29"/>
    <mergeCell ref="Q31:R31"/>
    <mergeCell ref="S31:T31"/>
    <mergeCell ref="U31:V31"/>
    <mergeCell ref="Y29:Z29"/>
    <mergeCell ref="Q30:R30"/>
    <mergeCell ref="S30:T30"/>
    <mergeCell ref="U30:V30"/>
    <mergeCell ref="W31:X31"/>
    <mergeCell ref="Y31:Z31"/>
    <mergeCell ref="U32:V32"/>
    <mergeCell ref="W32:X32"/>
    <mergeCell ref="Y32:Z32"/>
    <mergeCell ref="K31:L31"/>
    <mergeCell ref="M31:N31"/>
    <mergeCell ref="O31:P31"/>
    <mergeCell ref="I31:J31"/>
    <mergeCell ref="C38:I38"/>
    <mergeCell ref="V38:X38"/>
    <mergeCell ref="A35:B38"/>
    <mergeCell ref="C35:I35"/>
    <mergeCell ref="K35:M35"/>
    <mergeCell ref="P35:Q35"/>
    <mergeCell ref="T35:U35"/>
    <mergeCell ref="X35:Y35"/>
    <mergeCell ref="C36:I36"/>
    <mergeCell ref="V36:X36"/>
    <mergeCell ref="C37:I37"/>
    <mergeCell ref="V37:X37"/>
  </mergeCells>
  <phoneticPr fontId="2"/>
  <conditionalFormatting sqref="U17:V17">
    <cfRule type="expression" dxfId="42" priority="49" stopIfTrue="1">
      <formula>$U$17=0</formula>
    </cfRule>
  </conditionalFormatting>
  <conditionalFormatting sqref="W17:X17">
    <cfRule type="expression" dxfId="41" priority="48" stopIfTrue="1">
      <formula>$W$17=0</formula>
    </cfRule>
  </conditionalFormatting>
  <conditionalFormatting sqref="Y17:Z17">
    <cfRule type="expression" dxfId="40" priority="47" stopIfTrue="1">
      <formula>$Y$17=0</formula>
    </cfRule>
  </conditionalFormatting>
  <conditionalFormatting sqref="U24:V24">
    <cfRule type="expression" dxfId="39" priority="46" stopIfTrue="1">
      <formula>$U$24:$V$24=0</formula>
    </cfRule>
  </conditionalFormatting>
  <conditionalFormatting sqref="U32:V32">
    <cfRule type="expression" dxfId="38" priority="45" stopIfTrue="1">
      <formula>$U$32:$V$32=0</formula>
    </cfRule>
  </conditionalFormatting>
  <conditionalFormatting sqref="X35:Y35">
    <cfRule type="expression" dxfId="37" priority="44" stopIfTrue="1">
      <formula>$X$35=0</formula>
    </cfRule>
  </conditionalFormatting>
  <conditionalFormatting sqref="P35:Q35">
    <cfRule type="expression" dxfId="36" priority="43" stopIfTrue="1">
      <formula>$P$35=0</formula>
    </cfRule>
  </conditionalFormatting>
  <conditionalFormatting sqref="T35:U35">
    <cfRule type="expression" dxfId="35" priority="42" stopIfTrue="1">
      <formula>$T$35=0</formula>
    </cfRule>
  </conditionalFormatting>
  <conditionalFormatting sqref="K35:M35">
    <cfRule type="expression" dxfId="34" priority="41" stopIfTrue="1">
      <formula>$K$35=0</formula>
    </cfRule>
  </conditionalFormatting>
  <conditionalFormatting sqref="W7:X7">
    <cfRule type="expression" dxfId="33" priority="39" stopIfTrue="1">
      <formula>#VALUE!</formula>
    </cfRule>
    <cfRule type="expression" dxfId="32" priority="40" stopIfTrue="1">
      <formula>#VALUE!</formula>
    </cfRule>
  </conditionalFormatting>
  <conditionalFormatting sqref="W16:X16">
    <cfRule type="expression" dxfId="31" priority="38" stopIfTrue="1">
      <formula>#VALUE!</formula>
    </cfRule>
  </conditionalFormatting>
  <conditionalFormatting sqref="W7:X7">
    <cfRule type="expression" dxfId="30" priority="26" stopIfTrue="1">
      <formula>#VALUE!</formula>
    </cfRule>
    <cfRule type="expression" dxfId="29" priority="27" stopIfTrue="1">
      <formula>#VALUE!</formula>
    </cfRule>
  </conditionalFormatting>
  <conditionalFormatting sqref="W16:X16">
    <cfRule type="expression" dxfId="28" priority="25" stopIfTrue="1">
      <formula>#VALUE!</formula>
    </cfRule>
  </conditionalFormatting>
  <conditionalFormatting sqref="W24:X24">
    <cfRule type="expression" dxfId="27" priority="24" stopIfTrue="1">
      <formula>$W$24:$X$24=0</formula>
    </cfRule>
  </conditionalFormatting>
  <conditionalFormatting sqref="Y24:Z24">
    <cfRule type="expression" dxfId="26" priority="23" stopIfTrue="1">
      <formula>$Y$24:$Z$24=0</formula>
    </cfRule>
  </conditionalFormatting>
  <conditionalFormatting sqref="W32:X32">
    <cfRule type="expression" dxfId="25" priority="22" stopIfTrue="1">
      <formula>$W$32:$X$32=0</formula>
    </cfRule>
  </conditionalFormatting>
  <conditionalFormatting sqref="Y32:Z32">
    <cfRule type="expression" dxfId="24" priority="21" stopIfTrue="1">
      <formula>$Y$32:$Z$32=0</formula>
    </cfRule>
  </conditionalFormatting>
  <conditionalFormatting sqref="O7:T7">
    <cfRule type="expression" dxfId="23" priority="10" stopIfTrue="1">
      <formula>$AF$7=TRUE</formula>
    </cfRule>
  </conditionalFormatting>
  <conditionalFormatting sqref="O12:T12">
    <cfRule type="expression" dxfId="22" priority="9" stopIfTrue="1">
      <formula>$AF$12=TRUE</formula>
    </cfRule>
  </conditionalFormatting>
  <conditionalFormatting sqref="O13:T13">
    <cfRule type="expression" dxfId="21" priority="8" stopIfTrue="1">
      <formula>$AF$13=TRUE</formula>
    </cfRule>
  </conditionalFormatting>
  <conditionalFormatting sqref="O14:T14">
    <cfRule type="expression" dxfId="20" priority="7" stopIfTrue="1">
      <formula>$AF$14=TRUE</formula>
    </cfRule>
  </conditionalFormatting>
  <conditionalFormatting sqref="O15:T15">
    <cfRule type="expression" dxfId="19" priority="6" stopIfTrue="1">
      <formula>$AF$15=TRUE</formula>
    </cfRule>
  </conditionalFormatting>
  <conditionalFormatting sqref="O16:T16">
    <cfRule type="expression" dxfId="18" priority="5" stopIfTrue="1">
      <formula>$AF$16=TRUE</formula>
    </cfRule>
  </conditionalFormatting>
  <conditionalFormatting sqref="O9:T9">
    <cfRule type="expression" dxfId="17" priority="4" stopIfTrue="1">
      <formula>$AF$9=TRUE</formula>
    </cfRule>
  </conditionalFormatting>
  <conditionalFormatting sqref="O10:T10">
    <cfRule type="expression" dxfId="16" priority="3" stopIfTrue="1">
      <formula>$AF$10=TRUE</formula>
    </cfRule>
  </conditionalFormatting>
  <conditionalFormatting sqref="O11:T11">
    <cfRule type="expression" dxfId="15" priority="2" stopIfTrue="1">
      <formula>$AF$11=TRUE</formula>
    </cfRule>
  </conditionalFormatting>
  <conditionalFormatting sqref="O8:T8">
    <cfRule type="expression" dxfId="14" priority="1" stopIfTrue="1">
      <formula>$AF$8=TRUE</formula>
    </cfRule>
  </conditionalFormatting>
  <dataValidations count="1">
    <dataValidation type="list" allowBlank="1" showInputMessage="1" showErrorMessage="1" sqref="S22:T23 K7:L16">
      <formula1>"　,雨戸,ｼｬｯﾀｰ,障子,風除室"</formula1>
    </dataValidation>
  </dataValidations>
  <pageMargins left="0.59055118110236227" right="0.39370078740157483" top="0.98425196850393704" bottom="0.78740157480314965" header="0.31496062992125984" footer="0.39370078740157483"/>
  <pageSetup paperSize="9" scale="90" orientation="portrait" horizontalDpi="300" verticalDpi="300" r:id="rId1"/>
  <headerFooter>
    <oddHeader>&amp;Rver. 1.3 (excel2007)[H28]</oddHeader>
    <oddFooter>&amp;Cⓒ　2013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449" r:id="rId4" name="Check Box 1">
              <controlPr defaultSize="0" autoFill="0" autoLine="0" autoPict="0">
                <anchor moveWithCells="1">
                  <from>
                    <xdr:col>12</xdr:col>
                    <xdr:colOff>190500</xdr:colOff>
                    <xdr:row>6</xdr:row>
                    <xdr:rowOff>47625</xdr:rowOff>
                  </from>
                  <to>
                    <xdr:col>13</xdr:col>
                    <xdr:colOff>200025</xdr:colOff>
                    <xdr:row>6</xdr:row>
                    <xdr:rowOff>257175</xdr:rowOff>
                  </to>
                </anchor>
              </controlPr>
            </control>
          </mc:Choice>
        </mc:AlternateContent>
        <mc:AlternateContent xmlns:mc="http://schemas.openxmlformats.org/markup-compatibility/2006">
          <mc:Choice Requires="x14">
            <control shapeId="104450" r:id="rId5" name="Check Box 2">
              <controlPr defaultSize="0" autoFill="0" autoLine="0" autoPict="0">
                <anchor moveWithCells="1">
                  <from>
                    <xdr:col>12</xdr:col>
                    <xdr:colOff>190500</xdr:colOff>
                    <xdr:row>7</xdr:row>
                    <xdr:rowOff>47625</xdr:rowOff>
                  </from>
                  <to>
                    <xdr:col>13</xdr:col>
                    <xdr:colOff>200025</xdr:colOff>
                    <xdr:row>7</xdr:row>
                    <xdr:rowOff>257175</xdr:rowOff>
                  </to>
                </anchor>
              </controlPr>
            </control>
          </mc:Choice>
        </mc:AlternateContent>
        <mc:AlternateContent xmlns:mc="http://schemas.openxmlformats.org/markup-compatibility/2006">
          <mc:Choice Requires="x14">
            <control shapeId="104451" r:id="rId6" name="Check Box 3">
              <controlPr defaultSize="0" autoFill="0" autoLine="0" autoPict="0">
                <anchor moveWithCells="1">
                  <from>
                    <xdr:col>12</xdr:col>
                    <xdr:colOff>190500</xdr:colOff>
                    <xdr:row>11</xdr:row>
                    <xdr:rowOff>47625</xdr:rowOff>
                  </from>
                  <to>
                    <xdr:col>13</xdr:col>
                    <xdr:colOff>200025</xdr:colOff>
                    <xdr:row>11</xdr:row>
                    <xdr:rowOff>257175</xdr:rowOff>
                  </to>
                </anchor>
              </controlPr>
            </control>
          </mc:Choice>
        </mc:AlternateContent>
        <mc:AlternateContent xmlns:mc="http://schemas.openxmlformats.org/markup-compatibility/2006">
          <mc:Choice Requires="x14">
            <control shapeId="104452" r:id="rId7" name="Check Box 4">
              <controlPr defaultSize="0" autoFill="0" autoLine="0" autoPict="0">
                <anchor moveWithCells="1">
                  <from>
                    <xdr:col>12</xdr:col>
                    <xdr:colOff>190500</xdr:colOff>
                    <xdr:row>12</xdr:row>
                    <xdr:rowOff>47625</xdr:rowOff>
                  </from>
                  <to>
                    <xdr:col>13</xdr:col>
                    <xdr:colOff>200025</xdr:colOff>
                    <xdr:row>12</xdr:row>
                    <xdr:rowOff>257175</xdr:rowOff>
                  </to>
                </anchor>
              </controlPr>
            </control>
          </mc:Choice>
        </mc:AlternateContent>
        <mc:AlternateContent xmlns:mc="http://schemas.openxmlformats.org/markup-compatibility/2006">
          <mc:Choice Requires="x14">
            <control shapeId="104453" r:id="rId8" name="Check Box 5">
              <controlPr defaultSize="0" autoFill="0" autoLine="0" autoPict="0">
                <anchor moveWithCells="1">
                  <from>
                    <xdr:col>12</xdr:col>
                    <xdr:colOff>190500</xdr:colOff>
                    <xdr:row>13</xdr:row>
                    <xdr:rowOff>47625</xdr:rowOff>
                  </from>
                  <to>
                    <xdr:col>13</xdr:col>
                    <xdr:colOff>200025</xdr:colOff>
                    <xdr:row>13</xdr:row>
                    <xdr:rowOff>257175</xdr:rowOff>
                  </to>
                </anchor>
              </controlPr>
            </control>
          </mc:Choice>
        </mc:AlternateContent>
        <mc:AlternateContent xmlns:mc="http://schemas.openxmlformats.org/markup-compatibility/2006">
          <mc:Choice Requires="x14">
            <control shapeId="104454" r:id="rId9" name="Check Box 6">
              <controlPr defaultSize="0" autoFill="0" autoLine="0" autoPict="0">
                <anchor moveWithCells="1">
                  <from>
                    <xdr:col>12</xdr:col>
                    <xdr:colOff>190500</xdr:colOff>
                    <xdr:row>14</xdr:row>
                    <xdr:rowOff>47625</xdr:rowOff>
                  </from>
                  <to>
                    <xdr:col>13</xdr:col>
                    <xdr:colOff>200025</xdr:colOff>
                    <xdr:row>14</xdr:row>
                    <xdr:rowOff>257175</xdr:rowOff>
                  </to>
                </anchor>
              </controlPr>
            </control>
          </mc:Choice>
        </mc:AlternateContent>
        <mc:AlternateContent xmlns:mc="http://schemas.openxmlformats.org/markup-compatibility/2006">
          <mc:Choice Requires="x14">
            <control shapeId="104455" r:id="rId10" name="Check Box 7">
              <controlPr defaultSize="0" autoFill="0" autoLine="0" autoPict="0">
                <anchor moveWithCells="1">
                  <from>
                    <xdr:col>12</xdr:col>
                    <xdr:colOff>190500</xdr:colOff>
                    <xdr:row>15</xdr:row>
                    <xdr:rowOff>47625</xdr:rowOff>
                  </from>
                  <to>
                    <xdr:col>13</xdr:col>
                    <xdr:colOff>200025</xdr:colOff>
                    <xdr:row>15</xdr:row>
                    <xdr:rowOff>257175</xdr:rowOff>
                  </to>
                </anchor>
              </controlPr>
            </control>
          </mc:Choice>
        </mc:AlternateContent>
        <mc:AlternateContent xmlns:mc="http://schemas.openxmlformats.org/markup-compatibility/2006">
          <mc:Choice Requires="x14">
            <control shapeId="104456" r:id="rId11" name="Check Box 8">
              <controlPr defaultSize="0" autoFill="0" autoLine="0" autoPict="0">
                <anchor moveWithCells="1">
                  <from>
                    <xdr:col>12</xdr:col>
                    <xdr:colOff>190500</xdr:colOff>
                    <xdr:row>8</xdr:row>
                    <xdr:rowOff>47625</xdr:rowOff>
                  </from>
                  <to>
                    <xdr:col>13</xdr:col>
                    <xdr:colOff>200025</xdr:colOff>
                    <xdr:row>8</xdr:row>
                    <xdr:rowOff>257175</xdr:rowOff>
                  </to>
                </anchor>
              </controlPr>
            </control>
          </mc:Choice>
        </mc:AlternateContent>
        <mc:AlternateContent xmlns:mc="http://schemas.openxmlformats.org/markup-compatibility/2006">
          <mc:Choice Requires="x14">
            <control shapeId="104457" r:id="rId12" name="Check Box 9">
              <controlPr defaultSize="0" autoFill="0" autoLine="0" autoPict="0">
                <anchor moveWithCells="1">
                  <from>
                    <xdr:col>12</xdr:col>
                    <xdr:colOff>190500</xdr:colOff>
                    <xdr:row>9</xdr:row>
                    <xdr:rowOff>47625</xdr:rowOff>
                  </from>
                  <to>
                    <xdr:col>13</xdr:col>
                    <xdr:colOff>200025</xdr:colOff>
                    <xdr:row>9</xdr:row>
                    <xdr:rowOff>257175</xdr:rowOff>
                  </to>
                </anchor>
              </controlPr>
            </control>
          </mc:Choice>
        </mc:AlternateContent>
        <mc:AlternateContent xmlns:mc="http://schemas.openxmlformats.org/markup-compatibility/2006">
          <mc:Choice Requires="x14">
            <control shapeId="104458" r:id="rId13" name="Check Box 10">
              <controlPr defaultSize="0" autoFill="0" autoLine="0" autoPict="0">
                <anchor moveWithCells="1">
                  <from>
                    <xdr:col>12</xdr:col>
                    <xdr:colOff>190500</xdr:colOff>
                    <xdr:row>10</xdr:row>
                    <xdr:rowOff>47625</xdr:rowOff>
                  </from>
                  <to>
                    <xdr:col>13</xdr:col>
                    <xdr:colOff>200025</xdr:colOff>
                    <xdr:row>10</xdr:row>
                    <xdr:rowOff>257175</xdr:rowOff>
                  </to>
                </anchor>
              </controlPr>
            </control>
          </mc:Choice>
        </mc:AlternateContent>
        <mc:AlternateContent xmlns:mc="http://schemas.openxmlformats.org/markup-compatibility/2006">
          <mc:Choice Requires="x14">
            <control shapeId="104470" r:id="rId14" name="Check Box 22">
              <controlPr defaultSize="0" autoFill="0" autoLine="0" autoPict="0">
                <anchor moveWithCells="1">
                  <from>
                    <xdr:col>18</xdr:col>
                    <xdr:colOff>190500</xdr:colOff>
                    <xdr:row>28</xdr:row>
                    <xdr:rowOff>47625</xdr:rowOff>
                  </from>
                  <to>
                    <xdr:col>19</xdr:col>
                    <xdr:colOff>200025</xdr:colOff>
                    <xdr:row>28</xdr:row>
                    <xdr:rowOff>257175</xdr:rowOff>
                  </to>
                </anchor>
              </controlPr>
            </control>
          </mc:Choice>
        </mc:AlternateContent>
        <mc:AlternateContent xmlns:mc="http://schemas.openxmlformats.org/markup-compatibility/2006">
          <mc:Choice Requires="x14">
            <control shapeId="104471" r:id="rId15" name="Check Box 23">
              <controlPr defaultSize="0" autoFill="0" autoLine="0" autoPict="0">
                <anchor moveWithCells="1">
                  <from>
                    <xdr:col>18</xdr:col>
                    <xdr:colOff>190500</xdr:colOff>
                    <xdr:row>29</xdr:row>
                    <xdr:rowOff>47625</xdr:rowOff>
                  </from>
                  <to>
                    <xdr:col>19</xdr:col>
                    <xdr:colOff>200025</xdr:colOff>
                    <xdr:row>29</xdr:row>
                    <xdr:rowOff>257175</xdr:rowOff>
                  </to>
                </anchor>
              </controlPr>
            </control>
          </mc:Choice>
        </mc:AlternateContent>
        <mc:AlternateContent xmlns:mc="http://schemas.openxmlformats.org/markup-compatibility/2006">
          <mc:Choice Requires="x14">
            <control shapeId="104472" r:id="rId16" name="Check Box 24">
              <controlPr defaultSize="0" autoFill="0" autoLine="0" autoPict="0">
                <anchor moveWithCells="1">
                  <from>
                    <xdr:col>18</xdr:col>
                    <xdr:colOff>190500</xdr:colOff>
                    <xdr:row>30</xdr:row>
                    <xdr:rowOff>47625</xdr:rowOff>
                  </from>
                  <to>
                    <xdr:col>19</xdr:col>
                    <xdr:colOff>200025</xdr:colOff>
                    <xdr:row>30</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共通条件・結果</vt:lpstr>
      <vt:lpstr>Ａ（北）</vt:lpstr>
      <vt:lpstr>Ａ（北東）</vt:lpstr>
      <vt:lpstr>Ａ（東）</vt:lpstr>
      <vt:lpstr>Ａ（南東）</vt:lpstr>
      <vt:lpstr>Ａ（南）</vt:lpstr>
      <vt:lpstr>Ａ（南西）</vt:lpstr>
      <vt:lpstr>Ａ（西）</vt:lpstr>
      <vt:lpstr>Ａ（北西）</vt:lpstr>
      <vt:lpstr>Ｂ（屋根・床等）</vt:lpstr>
      <vt:lpstr>Ｃ（基礎）</vt:lpstr>
      <vt:lpstr>参考（部位Ｕ計算）</vt:lpstr>
      <vt:lpstr>更新履歴</vt:lpstr>
      <vt:lpstr>'Ａ（西）'!Print_Area</vt:lpstr>
      <vt:lpstr>'Ａ（東）'!Print_Area</vt:lpstr>
      <vt:lpstr>'Ａ（南）'!Print_Area</vt:lpstr>
      <vt:lpstr>'Ａ（南西）'!Print_Area</vt:lpstr>
      <vt:lpstr>'Ａ（南東）'!Print_Area</vt:lpstr>
      <vt:lpstr>'Ａ（北）'!Print_Area</vt:lpstr>
      <vt:lpstr>'Ａ（北西）'!Print_Area</vt:lpstr>
      <vt:lpstr>'Ａ（北東）'!Print_Area</vt:lpstr>
      <vt:lpstr>'Ｃ（基礎）'!Print_Area</vt:lpstr>
    </vt:vector>
  </TitlesOfParts>
  <Company>評価センター</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卓三</dc:creator>
  <cp:lastModifiedBy>012</cp:lastModifiedBy>
  <cp:lastPrinted>2016-05-27T06:18:51Z</cp:lastPrinted>
  <dcterms:created xsi:type="dcterms:W3CDTF">2001-06-12T05:58:42Z</dcterms:created>
  <dcterms:modified xsi:type="dcterms:W3CDTF">2016-11-04T07:05:09Z</dcterms:modified>
</cp:coreProperties>
</file>